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6480" windowHeight="4950"/>
  </bookViews>
  <sheets>
    <sheet name="Лист1" sheetId="1" r:id="rId1"/>
    <sheet name="для ФУ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9" i="1"/>
  <c r="H11" l="1"/>
  <c r="F45"/>
  <c r="G45"/>
  <c r="C45"/>
  <c r="F15"/>
  <c r="G19"/>
  <c r="D43"/>
  <c r="E43"/>
  <c r="D41"/>
  <c r="G47"/>
  <c r="G46"/>
  <c r="G44"/>
  <c r="G41"/>
  <c r="C48"/>
  <c r="C39" s="1"/>
  <c r="I43"/>
  <c r="I39"/>
  <c r="C49"/>
  <c r="D49"/>
  <c r="E49"/>
  <c r="D40"/>
  <c r="E40"/>
  <c r="F47"/>
  <c r="E42"/>
  <c r="F42"/>
  <c r="G48" l="1"/>
  <c r="C47" l="1"/>
  <c r="F40"/>
  <c r="F41"/>
  <c r="F43"/>
  <c r="F44"/>
  <c r="F46"/>
  <c r="H46"/>
  <c r="H41"/>
  <c r="H44"/>
  <c r="F35"/>
  <c r="F34"/>
  <c r="F32"/>
  <c r="F36"/>
  <c r="F28"/>
  <c r="F33"/>
  <c r="F29"/>
  <c r="F31"/>
  <c r="H27" l="1"/>
  <c r="F13"/>
  <c r="H32"/>
  <c r="C12"/>
  <c r="D12"/>
  <c r="E12"/>
  <c r="D18"/>
  <c r="E18"/>
  <c r="G17"/>
  <c r="C18"/>
  <c r="C11"/>
  <c r="F11"/>
  <c r="E11" s="1"/>
  <c r="F18"/>
  <c r="F16"/>
  <c r="E15"/>
  <c r="C50"/>
  <c r="E50"/>
  <c r="G49" l="1"/>
  <c r="F21"/>
  <c r="H21"/>
  <c r="H50" i="2"/>
  <c r="E50"/>
  <c r="D50"/>
  <c r="C50"/>
  <c r="G48"/>
  <c r="F48"/>
  <c r="E48"/>
  <c r="D48"/>
  <c r="C48"/>
  <c r="G47"/>
  <c r="F47"/>
  <c r="E47"/>
  <c r="D47"/>
  <c r="C47"/>
  <c r="H46"/>
  <c r="F46"/>
  <c r="E46"/>
  <c r="D46"/>
  <c r="C46"/>
  <c r="G45"/>
  <c r="F45"/>
  <c r="E45"/>
  <c r="D45"/>
  <c r="C45"/>
  <c r="G44"/>
  <c r="F44"/>
  <c r="E44"/>
  <c r="D44"/>
  <c r="C44"/>
  <c r="E43"/>
  <c r="D43"/>
  <c r="C43"/>
  <c r="F42"/>
  <c r="D42"/>
  <c r="H41"/>
  <c r="F41"/>
  <c r="G41" s="1"/>
  <c r="I39"/>
  <c r="H39"/>
  <c r="F39"/>
  <c r="C39"/>
  <c r="E31"/>
  <c r="D31"/>
  <c r="E30"/>
  <c r="D30"/>
  <c r="H27"/>
  <c r="G27"/>
  <c r="I24"/>
  <c r="G24"/>
  <c r="F24"/>
  <c r="I23"/>
  <c r="H23"/>
  <c r="G23"/>
  <c r="F23"/>
  <c r="G19"/>
  <c r="G35" s="1"/>
  <c r="E19"/>
  <c r="D19"/>
  <c r="C19"/>
  <c r="G18"/>
  <c r="G34" s="1"/>
  <c r="E34" s="1"/>
  <c r="D34" s="1"/>
  <c r="F18"/>
  <c r="G17"/>
  <c r="G33" s="1"/>
  <c r="E33" s="1"/>
  <c r="D33" s="1"/>
  <c r="E17"/>
  <c r="D17"/>
  <c r="C17"/>
  <c r="G16"/>
  <c r="G32" s="1"/>
  <c r="E32" s="1"/>
  <c r="D32" s="1"/>
  <c r="F16"/>
  <c r="E16"/>
  <c r="D16"/>
  <c r="C16"/>
  <c r="I15"/>
  <c r="E15"/>
  <c r="D15"/>
  <c r="C15"/>
  <c r="E14"/>
  <c r="D14"/>
  <c r="C14"/>
  <c r="G13"/>
  <c r="G29" s="1"/>
  <c r="F13"/>
  <c r="F20" s="1"/>
  <c r="E13"/>
  <c r="D13"/>
  <c r="C13"/>
  <c r="H11"/>
  <c r="H24" s="1"/>
  <c r="E11"/>
  <c r="E24" s="1"/>
  <c r="D11"/>
  <c r="D24" s="1"/>
  <c r="E41" l="1"/>
  <c r="D41" s="1"/>
  <c r="G39"/>
  <c r="E39" s="1"/>
  <c r="D39" s="1"/>
  <c r="G36"/>
  <c r="F36" s="1"/>
  <c r="G20"/>
  <c r="E20" s="1"/>
  <c r="D20" s="1"/>
  <c r="C20" s="1"/>
  <c r="C11" s="1"/>
  <c r="F21" l="1"/>
  <c r="H21"/>
  <c r="E36"/>
  <c r="D36" s="1"/>
  <c r="F27"/>
  <c r="E27" s="1"/>
  <c r="G27" i="1"/>
  <c r="E37" i="2" l="1"/>
  <c r="D27"/>
  <c r="D37" s="1"/>
  <c r="E30" i="1"/>
  <c r="D30" s="1"/>
  <c r="E31"/>
  <c r="D31" s="1"/>
  <c r="C14" l="1"/>
  <c r="D14"/>
  <c r="E14"/>
  <c r="I15"/>
  <c r="D15" s="1"/>
  <c r="C15" s="1"/>
  <c r="E45"/>
  <c r="D42"/>
  <c r="D50"/>
  <c r="E44" l="1"/>
  <c r="E41"/>
  <c r="D45"/>
  <c r="G24"/>
  <c r="F24"/>
  <c r="I23"/>
  <c r="H23"/>
  <c r="G23"/>
  <c r="F23"/>
  <c r="G18"/>
  <c r="G34" s="1"/>
  <c r="G16"/>
  <c r="G13"/>
  <c r="H24"/>
  <c r="I24"/>
  <c r="E20" l="1"/>
  <c r="D20" s="1"/>
  <c r="G29"/>
  <c r="E13"/>
  <c r="D13" s="1"/>
  <c r="C13" s="1"/>
  <c r="G32"/>
  <c r="E16"/>
  <c r="D16" s="1"/>
  <c r="C16" s="1"/>
  <c r="E17"/>
  <c r="D17" s="1"/>
  <c r="C17" s="1"/>
  <c r="G33"/>
  <c r="G35"/>
  <c r="E19"/>
  <c r="D19" s="1"/>
  <c r="C19" s="1"/>
  <c r="G36" l="1"/>
  <c r="E24"/>
  <c r="D11"/>
  <c r="D24" s="1"/>
  <c r="E46"/>
  <c r="D46" s="1"/>
  <c r="D44"/>
  <c r="G39" l="1"/>
  <c r="E47" l="1"/>
  <c r="D47" s="1"/>
  <c r="E34"/>
  <c r="D34" s="1"/>
  <c r="E33"/>
  <c r="D33" s="1"/>
  <c r="E32"/>
  <c r="D32" s="1"/>
  <c r="E36"/>
  <c r="D36" s="1"/>
  <c r="F27"/>
  <c r="E27"/>
  <c r="E37" s="1"/>
  <c r="D27"/>
  <c r="D37"/>
  <c r="F48"/>
  <c r="E48" s="1"/>
  <c r="D48" s="1"/>
  <c r="F39"/>
  <c r="E39"/>
  <c r="D39" s="1"/>
</calcChain>
</file>

<file path=xl/sharedStrings.xml><?xml version="1.0" encoding="utf-8"?>
<sst xmlns="http://schemas.openxmlformats.org/spreadsheetml/2006/main" count="562" uniqueCount="73">
  <si>
    <t>№ п/п</t>
  </si>
  <si>
    <t>Показатели</t>
  </si>
  <si>
    <r>
      <t xml:space="preserve">Всего по субъектам малого и среднего предпринимательства </t>
    </r>
    <r>
      <rPr>
        <sz val="9"/>
        <color theme="1"/>
        <rFont val="Times New Roman"/>
        <family val="1"/>
        <charset val="204"/>
      </rPr>
      <t>(сумма граф 6,7,8,9,10)</t>
    </r>
  </si>
  <si>
    <r>
      <t xml:space="preserve">Всего по субъектам малого предпринимательства </t>
    </r>
    <r>
      <rPr>
        <sz val="9"/>
        <color theme="1"/>
        <rFont val="Times New Roman"/>
        <family val="1"/>
        <charset val="204"/>
      </rPr>
      <t>(сумма граф 6,7,9,10)</t>
    </r>
  </si>
  <si>
    <t>Средние предприятия</t>
  </si>
  <si>
    <t>КФХ -ПБОЮЛ</t>
  </si>
  <si>
    <t>1.</t>
  </si>
  <si>
    <t>Количество, единиц:</t>
  </si>
  <si>
    <t>-</t>
  </si>
  <si>
    <t>а)</t>
  </si>
  <si>
    <t xml:space="preserve">Добыча полезных ископаемых </t>
  </si>
  <si>
    <t>б)</t>
  </si>
  <si>
    <t>Обрабатывающие производства</t>
  </si>
  <si>
    <t>в)</t>
  </si>
  <si>
    <t>Производство и распределение электроэнергии, газа и воды</t>
  </si>
  <si>
    <t>г)</t>
  </si>
  <si>
    <t>Сельское хозяйство, охота и лесное хозяйство</t>
  </si>
  <si>
    <t>д)</t>
  </si>
  <si>
    <t>Строительство</t>
  </si>
  <si>
    <t>е)</t>
  </si>
  <si>
    <t>Оптовая  и розничная торговля, ремонт автотранспортных средств, мотоциклов, бытовых изделий и предметов личного пользования</t>
  </si>
  <si>
    <t>ж)</t>
  </si>
  <si>
    <t>Транспорт и связь</t>
  </si>
  <si>
    <t>и)</t>
  </si>
  <si>
    <t>Предоставление прочих коммунальных, социальных и персональных услуг</t>
  </si>
  <si>
    <t>к)</t>
  </si>
  <si>
    <t>Другие</t>
  </si>
  <si>
    <t xml:space="preserve">2. </t>
  </si>
  <si>
    <t>Доля предприятий в общем количестве предприятий и организаций, учтенных в регистре хозяйствующих субъектов, %</t>
  </si>
  <si>
    <t>х</t>
  </si>
  <si>
    <t>3.</t>
  </si>
  <si>
    <t>Численность населения муниципального образования, чел.</t>
  </si>
  <si>
    <t>4.</t>
  </si>
  <si>
    <t>Среднемесячная заработная плата работников на отчетную дату, рублей</t>
  </si>
  <si>
    <t xml:space="preserve">5. </t>
  </si>
  <si>
    <t>Количество субъектов предпринимательства  на 1000 жителей МО, единиц</t>
  </si>
  <si>
    <t>6.</t>
  </si>
  <si>
    <t>Численность занятого населения МО, чел.</t>
  </si>
  <si>
    <t>7.</t>
  </si>
  <si>
    <t>Среднесписочная численность работников  всех предприятий и организаций МО, чел.</t>
  </si>
  <si>
    <t>8.</t>
  </si>
  <si>
    <t>Среднесписочная  численность постоянных работников, чел.</t>
  </si>
  <si>
    <t>9.</t>
  </si>
  <si>
    <t>Доля занятых в малом и среднем бизнесе в общей среднесписочной численности занятых  в МО, %</t>
  </si>
  <si>
    <t>10.</t>
  </si>
  <si>
    <r>
      <t xml:space="preserve">Объем производства продукции (работ, услуг), млн. руб. </t>
    </r>
    <r>
      <rPr>
        <i/>
        <sz val="10"/>
        <color theme="1"/>
        <rFont val="Times New Roman"/>
        <family val="1"/>
        <charset val="204"/>
      </rPr>
      <t>(по малым и средним предприятиям - оборот)</t>
    </r>
  </si>
  <si>
    <t>11.</t>
  </si>
  <si>
    <t>Общий объем расходов бюджета муниципального образования на развитие и поддержку предпринимательства, тыс. руб.</t>
  </si>
  <si>
    <t>12.</t>
  </si>
  <si>
    <t>Площадь используемых земель, га</t>
  </si>
  <si>
    <t>13.</t>
  </si>
  <si>
    <t>Всего уплачено налогов, тыс. руб *</t>
  </si>
  <si>
    <t xml:space="preserve">В том числе: </t>
  </si>
  <si>
    <t>единого налога на вменённый доход для отдельных видов деятельности</t>
  </si>
  <si>
    <t>единого налога, взимаемого по упрощенной системе налогообложения</t>
  </si>
  <si>
    <t>единого сельскохозяйственного налога</t>
  </si>
  <si>
    <t>14.</t>
  </si>
  <si>
    <t>Доля  налоговых  поступлений от субъектов предпринимательства  в общей сумме налогов, поступивших в местный бюджет, % *</t>
  </si>
  <si>
    <t>Всего по МО</t>
  </si>
  <si>
    <t>13.1</t>
  </si>
  <si>
    <t>13.2</t>
  </si>
  <si>
    <t>13.3</t>
  </si>
  <si>
    <t>МО – муниципальное образование</t>
  </si>
  <si>
    <t>КФХ – крестьянское (фермерское) хозяйство</t>
  </si>
  <si>
    <t>ПБОЮЛ – предприниматели без образования юридического лица</t>
  </si>
  <si>
    <t xml:space="preserve">Малые предпри-
ятия
 (с учетом микро-предпри-ятий, без КФХ)
</t>
  </si>
  <si>
    <t xml:space="preserve">Индивиду-альные предпри-ниматели  
(ПБОЮЛ, без КФХ)
</t>
  </si>
  <si>
    <t>Крестьянские (фермерские) хозяйства</t>
  </si>
  <si>
    <t>КФХ –юр. лица</t>
  </si>
  <si>
    <t>13.4</t>
  </si>
  <si>
    <t>патентная система налогообложения</t>
  </si>
  <si>
    <t>Данные по  муниципальному образованию город Новотроицк   за  2014 год</t>
  </si>
  <si>
    <t>19 января 2015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</si>
</sst>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 ;\-#,##0.0\ 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 applyBorder="1"/>
    <xf numFmtId="3" fontId="6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right" wrapText="1"/>
    </xf>
    <xf numFmtId="1" fontId="6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165" fontId="6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justify"/>
    </xf>
    <xf numFmtId="0" fontId="6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center"/>
    </xf>
    <xf numFmtId="0" fontId="11" fillId="0" borderId="0" xfId="0" applyFont="1"/>
    <xf numFmtId="0" fontId="6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3" fontId="0" fillId="0" borderId="0" xfId="0" applyNumberFormat="1" applyFill="1" applyBorder="1"/>
    <xf numFmtId="3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right" wrapText="1"/>
    </xf>
    <xf numFmtId="3" fontId="9" fillId="0" borderId="1" xfId="0" applyNumberFormat="1" applyFont="1" applyFill="1" applyBorder="1" applyAlignment="1">
      <alignment horizontal="right" wrapText="1"/>
    </xf>
    <xf numFmtId="1" fontId="10" fillId="0" borderId="1" xfId="0" applyNumberFormat="1" applyFont="1" applyFill="1" applyBorder="1" applyAlignment="1">
      <alignment horizontal="right" wrapText="1"/>
    </xf>
    <xf numFmtId="165" fontId="10" fillId="0" borderId="1" xfId="0" applyNumberFormat="1" applyFont="1" applyFill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5"/>
  <sheetViews>
    <sheetView tabSelected="1" zoomScaleNormal="100" workbookViewId="0">
      <selection activeCell="H40" sqref="H40"/>
    </sheetView>
  </sheetViews>
  <sheetFormatPr defaultRowHeight="15"/>
  <cols>
    <col min="1" max="1" width="5.5703125" style="1" customWidth="1"/>
    <col min="2" max="2" width="27.140625" style="1" customWidth="1"/>
    <col min="3" max="3" width="9.140625" style="1"/>
    <col min="4" max="5" width="10" style="1" bestFit="1" customWidth="1"/>
    <col min="6" max="6" width="10.28515625" style="1" customWidth="1"/>
    <col min="7" max="7" width="9.140625" style="1" customWidth="1"/>
    <col min="8" max="16384" width="9.140625" style="1"/>
  </cols>
  <sheetData>
    <row r="1" spans="1:10">
      <c r="H1" s="43"/>
      <c r="I1" s="43"/>
      <c r="J1" s="43"/>
    </row>
    <row r="2" spans="1:10">
      <c r="H2" s="8"/>
      <c r="I2" s="8"/>
      <c r="J2" s="8"/>
    </row>
    <row r="3" spans="1:10">
      <c r="B3" s="42" t="s">
        <v>71</v>
      </c>
      <c r="C3" s="42"/>
      <c r="D3" s="42"/>
      <c r="E3" s="42"/>
      <c r="F3" s="42"/>
      <c r="G3" s="42"/>
      <c r="H3" s="42"/>
      <c r="I3" s="42"/>
      <c r="J3" s="42"/>
    </row>
    <row r="5" spans="1:10" ht="48" customHeight="1">
      <c r="A5" s="61" t="s">
        <v>0</v>
      </c>
      <c r="B5" s="55" t="s">
        <v>1</v>
      </c>
      <c r="C5" s="55" t="s">
        <v>58</v>
      </c>
      <c r="D5" s="53" t="s">
        <v>2</v>
      </c>
      <c r="E5" s="53" t="s">
        <v>3</v>
      </c>
      <c r="F5" s="44" t="s">
        <v>65</v>
      </c>
      <c r="G5" s="44" t="s">
        <v>66</v>
      </c>
      <c r="H5" s="53" t="s">
        <v>4</v>
      </c>
      <c r="I5" s="47" t="s">
        <v>67</v>
      </c>
      <c r="J5" s="48"/>
    </row>
    <row r="6" spans="1:10" ht="24" customHeight="1">
      <c r="A6" s="61"/>
      <c r="B6" s="56"/>
      <c r="C6" s="56"/>
      <c r="D6" s="53"/>
      <c r="E6" s="53"/>
      <c r="F6" s="45"/>
      <c r="G6" s="45"/>
      <c r="H6" s="53"/>
      <c r="I6" s="49"/>
      <c r="J6" s="50"/>
    </row>
    <row r="7" spans="1:10" ht="35.25" customHeight="1">
      <c r="A7" s="61"/>
      <c r="B7" s="56"/>
      <c r="C7" s="56"/>
      <c r="D7" s="53"/>
      <c r="E7" s="53"/>
      <c r="F7" s="45"/>
      <c r="G7" s="45"/>
      <c r="H7" s="53"/>
      <c r="I7" s="51"/>
      <c r="J7" s="52"/>
    </row>
    <row r="8" spans="1:10" ht="24" customHeight="1">
      <c r="A8" s="61"/>
      <c r="B8" s="56"/>
      <c r="C8" s="56"/>
      <c r="D8" s="53"/>
      <c r="E8" s="53"/>
      <c r="F8" s="45"/>
      <c r="G8" s="45"/>
      <c r="H8" s="53"/>
      <c r="I8" s="53" t="s">
        <v>5</v>
      </c>
      <c r="J8" s="44" t="s">
        <v>68</v>
      </c>
    </row>
    <row r="9" spans="1:10" ht="14.25" hidden="1" customHeight="1">
      <c r="A9" s="61"/>
      <c r="B9" s="57"/>
      <c r="C9" s="57"/>
      <c r="D9" s="53"/>
      <c r="E9" s="53"/>
      <c r="F9" s="46"/>
      <c r="G9" s="46"/>
      <c r="H9" s="53"/>
      <c r="I9" s="53"/>
      <c r="J9" s="46"/>
    </row>
    <row r="10" spans="1:10">
      <c r="A10" s="9">
        <v>1</v>
      </c>
      <c r="B10" s="9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</row>
    <row r="11" spans="1:10" ht="21" customHeight="1">
      <c r="A11" s="10" t="s">
        <v>6</v>
      </c>
      <c r="B11" s="11" t="s">
        <v>7</v>
      </c>
      <c r="C11" s="4">
        <f>1163+G11</f>
        <v>2922</v>
      </c>
      <c r="D11" s="4">
        <f>E11+H11</f>
        <v>2606</v>
      </c>
      <c r="E11" s="4">
        <f>F11+G11+I11</f>
        <v>2595</v>
      </c>
      <c r="F11" s="4">
        <f>F12+F13+F14+F15+F16+F17+F18+F19+F20</f>
        <v>824</v>
      </c>
      <c r="G11" s="4">
        <v>1759</v>
      </c>
      <c r="H11" s="4">
        <f>H12+H13+H16+H18</f>
        <v>11</v>
      </c>
      <c r="I11" s="4">
        <v>12</v>
      </c>
      <c r="J11" s="32" t="s">
        <v>8</v>
      </c>
    </row>
    <row r="12" spans="1:10" ht="21.75" customHeight="1">
      <c r="A12" s="12" t="s">
        <v>9</v>
      </c>
      <c r="B12" s="12" t="s">
        <v>10</v>
      </c>
      <c r="C12" s="7">
        <f>D12</f>
        <v>9</v>
      </c>
      <c r="D12" s="7">
        <f>E12+H12</f>
        <v>9</v>
      </c>
      <c r="E12" s="7">
        <f>F12</f>
        <v>8</v>
      </c>
      <c r="F12" s="7">
        <v>8</v>
      </c>
      <c r="G12" s="7" t="s">
        <v>8</v>
      </c>
      <c r="H12" s="7">
        <v>1</v>
      </c>
      <c r="I12" s="13" t="s">
        <v>8</v>
      </c>
      <c r="J12" s="13" t="s">
        <v>8</v>
      </c>
    </row>
    <row r="13" spans="1:10" ht="15" customHeight="1">
      <c r="A13" s="12" t="s">
        <v>11</v>
      </c>
      <c r="B13" s="12" t="s">
        <v>12</v>
      </c>
      <c r="C13" s="2">
        <f>D13+7</f>
        <v>172.32400000000001</v>
      </c>
      <c r="D13" s="2">
        <f>E13+H13</f>
        <v>165.32400000000001</v>
      </c>
      <c r="E13" s="2">
        <f>F13+G13</f>
        <v>158.32400000000001</v>
      </c>
      <c r="F13" s="2">
        <f>109-H13-7</f>
        <v>95</v>
      </c>
      <c r="G13" s="2">
        <f>G11*0.036</f>
        <v>63.323999999999998</v>
      </c>
      <c r="H13" s="2">
        <v>7</v>
      </c>
      <c r="I13" s="31" t="s">
        <v>8</v>
      </c>
      <c r="J13" s="31" t="s">
        <v>8</v>
      </c>
    </row>
    <row r="14" spans="1:10" ht="26.25" customHeight="1">
      <c r="A14" s="12" t="s">
        <v>13</v>
      </c>
      <c r="B14" s="12" t="s">
        <v>14</v>
      </c>
      <c r="C14" s="2">
        <f>D14</f>
        <v>1</v>
      </c>
      <c r="D14" s="2">
        <f>E14</f>
        <v>1</v>
      </c>
      <c r="E14" s="2">
        <f>F14</f>
        <v>1</v>
      </c>
      <c r="F14" s="2">
        <v>1</v>
      </c>
      <c r="G14" s="2" t="s">
        <v>8</v>
      </c>
      <c r="H14" s="2" t="s">
        <v>8</v>
      </c>
      <c r="I14" s="31" t="s">
        <v>8</v>
      </c>
      <c r="J14" s="31" t="s">
        <v>8</v>
      </c>
    </row>
    <row r="15" spans="1:10" ht="29.25" customHeight="1">
      <c r="A15" s="14" t="s">
        <v>15</v>
      </c>
      <c r="B15" s="12" t="s">
        <v>16</v>
      </c>
      <c r="C15" s="34">
        <f>D15</f>
        <v>25</v>
      </c>
      <c r="D15" s="34">
        <f>E15</f>
        <v>25</v>
      </c>
      <c r="E15" s="34">
        <f>F15+I15</f>
        <v>25</v>
      </c>
      <c r="F15" s="34">
        <f>25-I15</f>
        <v>13</v>
      </c>
      <c r="G15" s="34" t="s">
        <v>8</v>
      </c>
      <c r="H15" s="34" t="s">
        <v>8</v>
      </c>
      <c r="I15" s="35">
        <f>I11</f>
        <v>12</v>
      </c>
      <c r="J15" s="35" t="s">
        <v>8</v>
      </c>
    </row>
    <row r="16" spans="1:10">
      <c r="A16" s="14" t="s">
        <v>17</v>
      </c>
      <c r="B16" s="12" t="s">
        <v>18</v>
      </c>
      <c r="C16" s="34">
        <f>D16</f>
        <v>200.42099999999999</v>
      </c>
      <c r="D16" s="34">
        <f>E16+H16</f>
        <v>200.42099999999999</v>
      </c>
      <c r="E16" s="34">
        <f>F16+G16</f>
        <v>198.42099999999999</v>
      </c>
      <c r="F16" s="34">
        <f>167-H16</f>
        <v>165</v>
      </c>
      <c r="G16" s="34">
        <f>G11*0.019</f>
        <v>33.420999999999999</v>
      </c>
      <c r="H16" s="34">
        <v>2</v>
      </c>
      <c r="I16" s="35" t="s">
        <v>8</v>
      </c>
      <c r="J16" s="35" t="s">
        <v>8</v>
      </c>
    </row>
    <row r="17" spans="1:10" ht="64.5" customHeight="1">
      <c r="A17" s="14" t="s">
        <v>19</v>
      </c>
      <c r="B17" s="12" t="s">
        <v>20</v>
      </c>
      <c r="C17" s="34">
        <f>D17</f>
        <v>1313.3999999999999</v>
      </c>
      <c r="D17" s="34">
        <f>E17</f>
        <v>1313.3999999999999</v>
      </c>
      <c r="E17" s="34">
        <f>F17+G17</f>
        <v>1313.3999999999999</v>
      </c>
      <c r="F17" s="34">
        <v>258</v>
      </c>
      <c r="G17" s="34">
        <f>G11*0.6</f>
        <v>1055.3999999999999</v>
      </c>
      <c r="H17" s="34" t="s">
        <v>8</v>
      </c>
      <c r="I17" s="35" t="s">
        <v>8</v>
      </c>
      <c r="J17" s="35" t="s">
        <v>8</v>
      </c>
    </row>
    <row r="18" spans="1:10">
      <c r="A18" s="14" t="s">
        <v>21</v>
      </c>
      <c r="B18" s="12" t="s">
        <v>22</v>
      </c>
      <c r="C18" s="34">
        <f>D18+1</f>
        <v>202.87799999999999</v>
      </c>
      <c r="D18" s="34">
        <f>E18+H18</f>
        <v>201.87799999999999</v>
      </c>
      <c r="E18" s="34">
        <f>F18+G18</f>
        <v>200.87799999999999</v>
      </c>
      <c r="F18" s="34">
        <f>129-2</f>
        <v>127</v>
      </c>
      <c r="G18" s="34">
        <f>G11*0.042</f>
        <v>73.878</v>
      </c>
      <c r="H18" s="34">
        <v>1</v>
      </c>
      <c r="I18" s="35" t="s">
        <v>8</v>
      </c>
      <c r="J18" s="35" t="s">
        <v>8</v>
      </c>
    </row>
    <row r="19" spans="1:10" ht="48" customHeight="1">
      <c r="A19" s="14" t="s">
        <v>23</v>
      </c>
      <c r="B19" s="12" t="s">
        <v>24</v>
      </c>
      <c r="C19" s="34">
        <f>D19+10</f>
        <v>177.02199999999999</v>
      </c>
      <c r="D19" s="34">
        <f>E19</f>
        <v>167.02199999999999</v>
      </c>
      <c r="E19" s="34">
        <f>F19+G19</f>
        <v>167.02199999999999</v>
      </c>
      <c r="F19" s="34">
        <v>65</v>
      </c>
      <c r="G19" s="34">
        <f>G11*0.058</f>
        <v>102.02200000000001</v>
      </c>
      <c r="H19" s="34" t="s">
        <v>8</v>
      </c>
      <c r="I19" s="35" t="s">
        <v>8</v>
      </c>
      <c r="J19" s="35" t="s">
        <v>8</v>
      </c>
    </row>
    <row r="20" spans="1:10">
      <c r="A20" s="12" t="s">
        <v>25</v>
      </c>
      <c r="B20" s="12" t="s">
        <v>26</v>
      </c>
      <c r="C20" s="34">
        <v>822</v>
      </c>
      <c r="D20" s="34">
        <f>E20</f>
        <v>524</v>
      </c>
      <c r="E20" s="34">
        <f>F20+G20</f>
        <v>524</v>
      </c>
      <c r="F20" s="34">
        <v>92</v>
      </c>
      <c r="G20" s="34">
        <v>432</v>
      </c>
      <c r="H20" s="34" t="s">
        <v>8</v>
      </c>
      <c r="I20" s="35" t="s">
        <v>8</v>
      </c>
      <c r="J20" s="35" t="s">
        <v>8</v>
      </c>
    </row>
    <row r="21" spans="1:10" ht="76.5" customHeight="1">
      <c r="A21" s="10" t="s">
        <v>27</v>
      </c>
      <c r="B21" s="10" t="s">
        <v>28</v>
      </c>
      <c r="C21" s="35" t="s">
        <v>29</v>
      </c>
      <c r="D21" s="35" t="s">
        <v>29</v>
      </c>
      <c r="E21" s="36" t="s">
        <v>29</v>
      </c>
      <c r="F21" s="20">
        <f>F11/1163*100</f>
        <v>70.851246775580407</v>
      </c>
      <c r="G21" s="20" t="s">
        <v>29</v>
      </c>
      <c r="H21" s="20">
        <f>H11/1163*100</f>
        <v>0.94582975064488384</v>
      </c>
      <c r="I21" s="35" t="s">
        <v>29</v>
      </c>
      <c r="J21" s="35" t="s">
        <v>29</v>
      </c>
    </row>
    <row r="22" spans="1:10" ht="43.5" customHeight="1">
      <c r="A22" s="10" t="s">
        <v>30</v>
      </c>
      <c r="B22" s="10" t="s">
        <v>31</v>
      </c>
      <c r="C22" s="34">
        <v>98973</v>
      </c>
      <c r="D22" s="35" t="s">
        <v>29</v>
      </c>
      <c r="E22" s="36" t="s">
        <v>29</v>
      </c>
      <c r="F22" s="35" t="s">
        <v>29</v>
      </c>
      <c r="G22" s="35" t="s">
        <v>29</v>
      </c>
      <c r="H22" s="35" t="s">
        <v>29</v>
      </c>
      <c r="I22" s="35" t="s">
        <v>29</v>
      </c>
      <c r="J22" s="35" t="s">
        <v>29</v>
      </c>
    </row>
    <row r="23" spans="1:10" ht="45" customHeight="1">
      <c r="A23" s="10" t="s">
        <v>32</v>
      </c>
      <c r="B23" s="10" t="s">
        <v>33</v>
      </c>
      <c r="C23" s="20">
        <v>25210.1</v>
      </c>
      <c r="D23" s="35" t="s">
        <v>29</v>
      </c>
      <c r="E23" s="35" t="s">
        <v>29</v>
      </c>
      <c r="F23" s="20">
        <f>C23*0.75</f>
        <v>18907.574999999997</v>
      </c>
      <c r="G23" s="20">
        <f>C23*0.7</f>
        <v>17647.069999999996</v>
      </c>
      <c r="H23" s="20">
        <f>C23*0.84</f>
        <v>21176.483999999997</v>
      </c>
      <c r="I23" s="20">
        <f>C23*0.744</f>
        <v>18756.314399999999</v>
      </c>
      <c r="J23" s="35" t="s">
        <v>29</v>
      </c>
    </row>
    <row r="24" spans="1:10" ht="49.5" customHeight="1">
      <c r="A24" s="10" t="s">
        <v>34</v>
      </c>
      <c r="B24" s="10" t="s">
        <v>35</v>
      </c>
      <c r="C24" s="35" t="s">
        <v>29</v>
      </c>
      <c r="D24" s="20">
        <f>D11*1000/C22</f>
        <v>26.330413345053703</v>
      </c>
      <c r="E24" s="20">
        <f>E11*1000/C22</f>
        <v>26.219271922645571</v>
      </c>
      <c r="F24" s="20">
        <f>F11*1000/C22</f>
        <v>8.325502914936397</v>
      </c>
      <c r="G24" s="20">
        <f>G11*1000/C22</f>
        <v>17.772523819627576</v>
      </c>
      <c r="H24" s="20">
        <f>H11*1000/C22</f>
        <v>0.1111414224081315</v>
      </c>
      <c r="I24" s="54">
        <f>I11*1000/C22</f>
        <v>0.12124518808159801</v>
      </c>
      <c r="J24" s="54"/>
    </row>
    <row r="25" spans="1:10" ht="27" customHeight="1">
      <c r="A25" s="10" t="s">
        <v>36</v>
      </c>
      <c r="B25" s="10" t="s">
        <v>37</v>
      </c>
      <c r="C25" s="34">
        <v>49200</v>
      </c>
      <c r="D25" s="35" t="s">
        <v>29</v>
      </c>
      <c r="E25" s="36" t="s">
        <v>29</v>
      </c>
      <c r="F25" s="35" t="s">
        <v>29</v>
      </c>
      <c r="G25" s="35" t="s">
        <v>29</v>
      </c>
      <c r="H25" s="35" t="s">
        <v>29</v>
      </c>
      <c r="I25" s="35" t="s">
        <v>29</v>
      </c>
      <c r="J25" s="35" t="s">
        <v>29</v>
      </c>
    </row>
    <row r="26" spans="1:10" ht="47.25" customHeight="1">
      <c r="A26" s="10" t="s">
        <v>38</v>
      </c>
      <c r="B26" s="10" t="s">
        <v>39</v>
      </c>
      <c r="C26" s="34">
        <v>30840</v>
      </c>
      <c r="D26" s="35" t="s">
        <v>29</v>
      </c>
      <c r="E26" s="36" t="s">
        <v>29</v>
      </c>
      <c r="F26" s="35" t="s">
        <v>29</v>
      </c>
      <c r="G26" s="35" t="s">
        <v>29</v>
      </c>
      <c r="H26" s="35" t="s">
        <v>29</v>
      </c>
      <c r="I26" s="35" t="s">
        <v>29</v>
      </c>
      <c r="J26" s="35"/>
    </row>
    <row r="27" spans="1:10" ht="34.5" customHeight="1">
      <c r="A27" s="10" t="s">
        <v>40</v>
      </c>
      <c r="B27" s="10" t="s">
        <v>41</v>
      </c>
      <c r="C27" s="37" t="s">
        <v>29</v>
      </c>
      <c r="D27" s="38">
        <f>E27+H27</f>
        <v>13042.746666666668</v>
      </c>
      <c r="E27" s="38">
        <f>F27+G27+I27</f>
        <v>11641.746666666668</v>
      </c>
      <c r="F27" s="38">
        <f>F28+F29+F30+F31+F32+F33+F34+F35+F36</f>
        <v>9659.6666666666679</v>
      </c>
      <c r="G27" s="38">
        <f>G11*0.12+G11</f>
        <v>1970.08</v>
      </c>
      <c r="H27" s="38">
        <f>H28+H29+H32+H34</f>
        <v>1401</v>
      </c>
      <c r="I27" s="37">
        <v>12</v>
      </c>
      <c r="J27" s="35" t="s">
        <v>8</v>
      </c>
    </row>
    <row r="28" spans="1:10" ht="21" customHeight="1">
      <c r="A28" s="12" t="s">
        <v>9</v>
      </c>
      <c r="B28" s="12" t="s">
        <v>10</v>
      </c>
      <c r="C28" s="37" t="s">
        <v>29</v>
      </c>
      <c r="D28" s="35" t="s">
        <v>8</v>
      </c>
      <c r="E28" s="35" t="s">
        <v>8</v>
      </c>
      <c r="F28" s="34">
        <f>(617-H28)/3</f>
        <v>128.66666666666666</v>
      </c>
      <c r="G28" s="35" t="s">
        <v>8</v>
      </c>
      <c r="H28" s="35">
        <v>231</v>
      </c>
      <c r="I28" s="35" t="s">
        <v>8</v>
      </c>
      <c r="J28" s="35" t="s">
        <v>8</v>
      </c>
    </row>
    <row r="29" spans="1:10" ht="16.5" customHeight="1">
      <c r="A29" s="12" t="s">
        <v>11</v>
      </c>
      <c r="B29" s="12" t="s">
        <v>12</v>
      </c>
      <c r="C29" s="37" t="s">
        <v>29</v>
      </c>
      <c r="D29" s="34">
        <v>2223</v>
      </c>
      <c r="E29" s="34">
        <v>1356</v>
      </c>
      <c r="F29" s="34">
        <f>9660*0.13</f>
        <v>1255.8</v>
      </c>
      <c r="G29" s="34">
        <f>G13</f>
        <v>63.323999999999998</v>
      </c>
      <c r="H29" s="35">
        <v>879</v>
      </c>
      <c r="I29" s="35" t="s">
        <v>8</v>
      </c>
      <c r="J29" s="35" t="s">
        <v>8</v>
      </c>
    </row>
    <row r="30" spans="1:10" ht="35.25" customHeight="1">
      <c r="A30" s="12" t="s">
        <v>13</v>
      </c>
      <c r="B30" s="12" t="s">
        <v>14</v>
      </c>
      <c r="C30" s="37" t="s">
        <v>29</v>
      </c>
      <c r="D30" s="35">
        <f>E30</f>
        <v>9</v>
      </c>
      <c r="E30" s="35">
        <f>F30</f>
        <v>9</v>
      </c>
      <c r="F30" s="35">
        <v>9</v>
      </c>
      <c r="G30" s="35" t="s">
        <v>8</v>
      </c>
      <c r="H30" s="35" t="s">
        <v>8</v>
      </c>
      <c r="I30" s="35" t="s">
        <v>8</v>
      </c>
      <c r="J30" s="35" t="s">
        <v>8</v>
      </c>
    </row>
    <row r="31" spans="1:10" ht="30.75" customHeight="1">
      <c r="A31" s="12" t="s">
        <v>15</v>
      </c>
      <c r="B31" s="12" t="s">
        <v>16</v>
      </c>
      <c r="C31" s="37" t="s">
        <v>29</v>
      </c>
      <c r="D31" s="35">
        <f>E31</f>
        <v>12</v>
      </c>
      <c r="E31" s="35">
        <f>I31</f>
        <v>12</v>
      </c>
      <c r="F31" s="35">
        <f>174-I31</f>
        <v>162</v>
      </c>
      <c r="G31" s="35" t="s">
        <v>8</v>
      </c>
      <c r="H31" s="35" t="s">
        <v>8</v>
      </c>
      <c r="I31" s="35">
        <v>12</v>
      </c>
      <c r="J31" s="35" t="s">
        <v>8</v>
      </c>
    </row>
    <row r="32" spans="1:10">
      <c r="A32" s="12" t="s">
        <v>17</v>
      </c>
      <c r="B32" s="12" t="s">
        <v>18</v>
      </c>
      <c r="C32" s="37" t="s">
        <v>29</v>
      </c>
      <c r="D32" s="34">
        <f>E32+H32</f>
        <v>1837.221</v>
      </c>
      <c r="E32" s="34">
        <f>F32+G32</f>
        <v>1689.221</v>
      </c>
      <c r="F32" s="34">
        <f>9660*0.18-83</f>
        <v>1655.8</v>
      </c>
      <c r="G32" s="34">
        <f>G16</f>
        <v>33.420999999999999</v>
      </c>
      <c r="H32" s="35">
        <f>124+24</f>
        <v>148</v>
      </c>
      <c r="I32" s="35"/>
      <c r="J32" s="35"/>
    </row>
    <row r="33" spans="1:11" ht="71.25" customHeight="1">
      <c r="A33" s="14" t="s">
        <v>19</v>
      </c>
      <c r="B33" s="12" t="s">
        <v>20</v>
      </c>
      <c r="C33" s="37" t="s">
        <v>29</v>
      </c>
      <c r="D33" s="34">
        <f>E33</f>
        <v>3790.248</v>
      </c>
      <c r="E33" s="34">
        <f>F33+G33</f>
        <v>3790.248</v>
      </c>
      <c r="F33" s="34">
        <f>9660*0.27</f>
        <v>2608.2000000000003</v>
      </c>
      <c r="G33" s="34">
        <f>G17*0.12+G17</f>
        <v>1182.0479999999998</v>
      </c>
      <c r="H33" s="35" t="s">
        <v>8</v>
      </c>
      <c r="I33" s="35" t="s">
        <v>8</v>
      </c>
      <c r="J33" s="35" t="s">
        <v>8</v>
      </c>
    </row>
    <row r="34" spans="1:11">
      <c r="A34" s="14" t="s">
        <v>21</v>
      </c>
      <c r="B34" s="12" t="s">
        <v>22</v>
      </c>
      <c r="C34" s="37" t="s">
        <v>29</v>
      </c>
      <c r="D34" s="34">
        <f>E34+H34</f>
        <v>1613.1679799999999</v>
      </c>
      <c r="E34" s="34">
        <f>F34+G34</f>
        <v>1470.1679799999999</v>
      </c>
      <c r="F34" s="34">
        <f>9660*0.15-83</f>
        <v>1366</v>
      </c>
      <c r="G34" s="34">
        <f>G18*0.41+G18</f>
        <v>104.16798</v>
      </c>
      <c r="H34" s="35">
        <v>143</v>
      </c>
      <c r="I34" s="35" t="s">
        <v>8</v>
      </c>
      <c r="J34" s="35" t="s">
        <v>8</v>
      </c>
    </row>
    <row r="35" spans="1:11" ht="45.75" customHeight="1">
      <c r="A35" s="14" t="s">
        <v>23</v>
      </c>
      <c r="B35" s="12" t="s">
        <v>24</v>
      </c>
      <c r="C35" s="37" t="s">
        <v>29</v>
      </c>
      <c r="D35" s="34">
        <v>2315</v>
      </c>
      <c r="E35" s="34">
        <v>2315</v>
      </c>
      <c r="F35" s="34">
        <f>9660*0.22-82</f>
        <v>2043.1999999999998</v>
      </c>
      <c r="G35" s="34">
        <f>G19*0.12+G19</f>
        <v>114.26464</v>
      </c>
      <c r="H35" s="35" t="s">
        <v>8</v>
      </c>
      <c r="I35" s="35" t="s">
        <v>8</v>
      </c>
      <c r="J35" s="35" t="s">
        <v>8</v>
      </c>
    </row>
    <row r="36" spans="1:11">
      <c r="A36" s="14" t="s">
        <v>25</v>
      </c>
      <c r="B36" s="12" t="s">
        <v>26</v>
      </c>
      <c r="C36" s="37" t="s">
        <v>29</v>
      </c>
      <c r="D36" s="34">
        <f>E36</f>
        <v>903.85438000000011</v>
      </c>
      <c r="E36" s="34">
        <f>F36+G36</f>
        <v>903.85438000000011</v>
      </c>
      <c r="F36" s="34">
        <f>431</f>
        <v>431</v>
      </c>
      <c r="G36" s="39">
        <f>G27-G29-G32-G33-G34-G35</f>
        <v>472.85438000000011</v>
      </c>
      <c r="H36" s="35" t="s">
        <v>8</v>
      </c>
      <c r="I36" s="35" t="s">
        <v>8</v>
      </c>
      <c r="J36" s="35" t="s">
        <v>8</v>
      </c>
      <c r="K36" s="33"/>
    </row>
    <row r="37" spans="1:11" ht="60.75" customHeight="1">
      <c r="A37" s="60" t="s">
        <v>42</v>
      </c>
      <c r="B37" s="60" t="s">
        <v>43</v>
      </c>
      <c r="C37" s="62" t="s">
        <v>29</v>
      </c>
      <c r="D37" s="54">
        <f>D27/C25*100</f>
        <v>26.509647696476968</v>
      </c>
      <c r="E37" s="54">
        <f>E27/C25*100</f>
        <v>23.662086720867212</v>
      </c>
      <c r="F37" s="59" t="s">
        <v>29</v>
      </c>
      <c r="G37" s="59" t="s">
        <v>29</v>
      </c>
      <c r="H37" s="59" t="s">
        <v>29</v>
      </c>
      <c r="I37" s="59" t="s">
        <v>29</v>
      </c>
      <c r="J37" s="59" t="s">
        <v>29</v>
      </c>
    </row>
    <row r="38" spans="1:11" hidden="1">
      <c r="A38" s="60"/>
      <c r="B38" s="60"/>
      <c r="C38" s="62"/>
      <c r="D38" s="54"/>
      <c r="E38" s="54"/>
      <c r="F38" s="59"/>
      <c r="G38" s="59"/>
      <c r="H38" s="59"/>
      <c r="I38" s="59"/>
      <c r="J38" s="59"/>
    </row>
    <row r="39" spans="1:11" ht="51">
      <c r="A39" s="10" t="s">
        <v>44</v>
      </c>
      <c r="B39" s="10" t="s">
        <v>45</v>
      </c>
      <c r="C39" s="17">
        <f>C40+C41+C42+C43+C44+C45+C46+C47+C48</f>
        <v>73802.588000000003</v>
      </c>
      <c r="D39" s="17">
        <f>E39+H39</f>
        <v>12734.501717999998</v>
      </c>
      <c r="E39" s="17">
        <f>F39+G39+I39</f>
        <v>10542.049717999998</v>
      </c>
      <c r="F39" s="17">
        <f>F41+F42+F44+F45+F46+F47+F48</f>
        <v>6206.4446639999987</v>
      </c>
      <c r="G39" s="17">
        <f>G41+G44+G45+G46+G47+G48</f>
        <v>4319.4260540000005</v>
      </c>
      <c r="H39" s="17">
        <f>H41+H44+H46+H40</f>
        <v>2192.4519999999998</v>
      </c>
      <c r="I39" s="17">
        <f>107860*0.15/1000</f>
        <v>16.178999999999998</v>
      </c>
      <c r="J39" s="37" t="s">
        <v>8</v>
      </c>
    </row>
    <row r="40" spans="1:11" ht="19.5" customHeight="1">
      <c r="A40" s="12" t="s">
        <v>9</v>
      </c>
      <c r="B40" s="12" t="s">
        <v>10</v>
      </c>
      <c r="C40" s="20">
        <v>813.19500000000005</v>
      </c>
      <c r="D40" s="20">
        <f>E40+H40</f>
        <v>413.37169999999998</v>
      </c>
      <c r="E40" s="20">
        <f>F40</f>
        <v>48.791699999999999</v>
      </c>
      <c r="F40" s="20">
        <f>813.195*0.06</f>
        <v>48.791699999999999</v>
      </c>
      <c r="G40" s="20"/>
      <c r="H40" s="20">
        <v>364.58</v>
      </c>
      <c r="I40" s="20" t="s">
        <v>8</v>
      </c>
      <c r="J40" s="35" t="s">
        <v>8</v>
      </c>
    </row>
    <row r="41" spans="1:11" ht="15.75" customHeight="1">
      <c r="A41" s="12" t="s">
        <v>11</v>
      </c>
      <c r="B41" s="12" t="s">
        <v>12</v>
      </c>
      <c r="C41" s="20">
        <v>60526.49</v>
      </c>
      <c r="D41" s="20">
        <f>+F41+G41+H41</f>
        <v>6916.7146999999995</v>
      </c>
      <c r="E41" s="20">
        <f>F41+G41</f>
        <v>5447.3846999999996</v>
      </c>
      <c r="F41" s="20">
        <f>60526.5*0.06</f>
        <v>3631.5899999999997</v>
      </c>
      <c r="G41" s="40">
        <f>C41*0.03</f>
        <v>1815.7946999999999</v>
      </c>
      <c r="H41" s="20">
        <f>275.79+300.57+94.21+434.18+364.58</f>
        <v>1469.33</v>
      </c>
      <c r="I41" s="20" t="s">
        <v>8</v>
      </c>
      <c r="J41" s="35" t="s">
        <v>8</v>
      </c>
    </row>
    <row r="42" spans="1:11" ht="31.5" customHeight="1">
      <c r="A42" s="12" t="s">
        <v>13</v>
      </c>
      <c r="B42" s="12" t="s">
        <v>14</v>
      </c>
      <c r="C42" s="20">
        <v>1694.548</v>
      </c>
      <c r="D42" s="20">
        <f>E42</f>
        <v>5.0836440000000005</v>
      </c>
      <c r="E42" s="20">
        <f>F42</f>
        <v>5.0836440000000005</v>
      </c>
      <c r="F42" s="20">
        <f>1694.548*0.003</f>
        <v>5.0836440000000005</v>
      </c>
      <c r="G42" s="20" t="s">
        <v>8</v>
      </c>
      <c r="H42" s="20" t="s">
        <v>8</v>
      </c>
      <c r="I42" s="20" t="s">
        <v>8</v>
      </c>
      <c r="J42" s="35" t="s">
        <v>8</v>
      </c>
    </row>
    <row r="43" spans="1:11" ht="24.75" customHeight="1">
      <c r="A43" s="12" t="s">
        <v>15</v>
      </c>
      <c r="B43" s="12" t="s">
        <v>16</v>
      </c>
      <c r="C43" s="20">
        <v>461.8</v>
      </c>
      <c r="D43" s="20">
        <f>E43</f>
        <v>18.951000000000001</v>
      </c>
      <c r="E43" s="20">
        <f>I43+F43</f>
        <v>18.951000000000001</v>
      </c>
      <c r="F43" s="20">
        <f>46.2*0.06</f>
        <v>2.7720000000000002</v>
      </c>
      <c r="G43" s="20" t="s">
        <v>8</v>
      </c>
      <c r="H43" s="20" t="s">
        <v>8</v>
      </c>
      <c r="I43" s="20">
        <f>I39</f>
        <v>16.178999999999998</v>
      </c>
      <c r="J43" s="35" t="s">
        <v>8</v>
      </c>
    </row>
    <row r="44" spans="1:11" ht="15" customHeight="1">
      <c r="A44" s="12" t="s">
        <v>17</v>
      </c>
      <c r="B44" s="12" t="s">
        <v>18</v>
      </c>
      <c r="C44" s="20">
        <v>253.38900000000001</v>
      </c>
      <c r="D44" s="20">
        <f>E44+H44</f>
        <v>225.84501000000003</v>
      </c>
      <c r="E44" s="20">
        <f>F44+G44</f>
        <v>22.805010000000003</v>
      </c>
      <c r="F44" s="20">
        <f>253.389*0.06</f>
        <v>15.203340000000001</v>
      </c>
      <c r="G44" s="20">
        <f>C44*0.03</f>
        <v>7.6016700000000004</v>
      </c>
      <c r="H44" s="20">
        <f>148.84+54.2</f>
        <v>203.04000000000002</v>
      </c>
      <c r="I44" s="20" t="s">
        <v>8</v>
      </c>
      <c r="J44" s="35" t="s">
        <v>8</v>
      </c>
    </row>
    <row r="45" spans="1:11" ht="71.25" customHeight="1">
      <c r="A45" s="12" t="s">
        <v>19</v>
      </c>
      <c r="B45" s="12" t="s">
        <v>20</v>
      </c>
      <c r="C45" s="20">
        <f>7125.4-0.612</f>
        <v>7124.7879999999996</v>
      </c>
      <c r="D45" s="20">
        <f>E45</f>
        <v>4787.0109439999997</v>
      </c>
      <c r="E45" s="20">
        <f>F45+G45</f>
        <v>4787.0109439999997</v>
      </c>
      <c r="F45" s="20">
        <f>7575.9*0.314</f>
        <v>2378.8325999999997</v>
      </c>
      <c r="G45" s="20">
        <f>C45*0.338</f>
        <v>2408.1783439999999</v>
      </c>
      <c r="H45" s="20" t="s">
        <v>8</v>
      </c>
      <c r="I45" s="20" t="s">
        <v>8</v>
      </c>
      <c r="J45" s="35" t="s">
        <v>8</v>
      </c>
    </row>
    <row r="46" spans="1:11" ht="15.75" customHeight="1">
      <c r="A46" s="12" t="s">
        <v>21</v>
      </c>
      <c r="B46" s="12" t="s">
        <v>22</v>
      </c>
      <c r="C46" s="20">
        <v>229.39699999999999</v>
      </c>
      <c r="D46" s="20">
        <f>E46+H46</f>
        <v>176.18013000000002</v>
      </c>
      <c r="E46" s="20">
        <f>F46+G46</f>
        <v>20.678129999999999</v>
      </c>
      <c r="F46" s="20">
        <f>229.937*0.06</f>
        <v>13.79622</v>
      </c>
      <c r="G46" s="20">
        <f>C46*0.03</f>
        <v>6.8819099999999995</v>
      </c>
      <c r="H46" s="20">
        <f>155.502</f>
        <v>155.50200000000001</v>
      </c>
      <c r="I46" s="20"/>
      <c r="J46" s="35"/>
    </row>
    <row r="47" spans="1:11" ht="39.75" customHeight="1">
      <c r="A47" s="12" t="s">
        <v>23</v>
      </c>
      <c r="B47" s="12" t="s">
        <v>24</v>
      </c>
      <c r="C47" s="20">
        <f>1444.424</f>
        <v>1444.424</v>
      </c>
      <c r="D47" s="20">
        <f>E47</f>
        <v>129.99815999999998</v>
      </c>
      <c r="E47" s="20">
        <f>F47+G47</f>
        <v>129.99815999999998</v>
      </c>
      <c r="F47" s="20">
        <f>C47*0.06</f>
        <v>86.66543999999999</v>
      </c>
      <c r="G47" s="20">
        <f>C47*0.03</f>
        <v>43.332719999999995</v>
      </c>
      <c r="H47" s="20" t="s">
        <v>8</v>
      </c>
      <c r="I47" s="20" t="s">
        <v>8</v>
      </c>
      <c r="J47" s="35" t="s">
        <v>8</v>
      </c>
    </row>
    <row r="48" spans="1:11">
      <c r="A48" s="12" t="s">
        <v>25</v>
      </c>
      <c r="B48" s="12" t="s">
        <v>26</v>
      </c>
      <c r="C48" s="20">
        <f>66677.8-C40-C41-C42-C43-C44-C46-C47</f>
        <v>1254.556999999998</v>
      </c>
      <c r="D48" s="20">
        <f>E48</f>
        <v>112.91012999999981</v>
      </c>
      <c r="E48" s="20">
        <f>F48+G48</f>
        <v>112.91012999999981</v>
      </c>
      <c r="F48" s="20">
        <f>C48*0.06</f>
        <v>75.273419999999874</v>
      </c>
      <c r="G48" s="20">
        <f>C48*0.03</f>
        <v>37.636709999999937</v>
      </c>
      <c r="H48" s="20" t="s">
        <v>8</v>
      </c>
      <c r="I48" s="20" t="s">
        <v>8</v>
      </c>
      <c r="J48" s="20" t="s">
        <v>8</v>
      </c>
    </row>
    <row r="49" spans="1:10" ht="57.75" customHeight="1">
      <c r="A49" s="10" t="s">
        <v>46</v>
      </c>
      <c r="B49" s="10" t="s">
        <v>47</v>
      </c>
      <c r="C49" s="41">
        <f>D49</f>
        <v>1520</v>
      </c>
      <c r="D49" s="41">
        <f>E49</f>
        <v>1520</v>
      </c>
      <c r="E49" s="41">
        <f>G49</f>
        <v>1520</v>
      </c>
      <c r="F49" s="41">
        <v>0</v>
      </c>
      <c r="G49" s="41">
        <f>1500+20</f>
        <v>1520</v>
      </c>
      <c r="H49" s="35">
        <v>0</v>
      </c>
      <c r="I49" s="35">
        <v>0</v>
      </c>
      <c r="J49" s="35" t="s">
        <v>8</v>
      </c>
    </row>
    <row r="50" spans="1:10" ht="25.5" customHeight="1">
      <c r="A50" s="10" t="s">
        <v>48</v>
      </c>
      <c r="B50" s="10" t="s">
        <v>49</v>
      </c>
      <c r="C50" s="17">
        <f>D50+38.5+1.1+2.7+3.3+77.8</f>
        <v>537.32000000000005</v>
      </c>
      <c r="D50" s="17">
        <f>E50</f>
        <v>413.92</v>
      </c>
      <c r="E50" s="17">
        <f>H50+G50+F50</f>
        <v>413.92</v>
      </c>
      <c r="F50" s="37">
        <v>19.3</v>
      </c>
      <c r="G50" s="37">
        <v>5.0999999999999996</v>
      </c>
      <c r="H50" s="17">
        <v>389.52</v>
      </c>
      <c r="I50" s="37" t="s">
        <v>8</v>
      </c>
      <c r="J50" s="37" t="s">
        <v>8</v>
      </c>
    </row>
    <row r="51" spans="1:10" ht="31.5" customHeight="1">
      <c r="A51" s="19" t="s">
        <v>50</v>
      </c>
      <c r="B51" s="10" t="s">
        <v>51</v>
      </c>
      <c r="C51" s="20">
        <v>716134.9</v>
      </c>
      <c r="D51" s="20" t="s">
        <v>8</v>
      </c>
      <c r="E51" s="20" t="s">
        <v>8</v>
      </c>
      <c r="F51" s="20" t="s">
        <v>8</v>
      </c>
      <c r="G51" s="20" t="s">
        <v>8</v>
      </c>
      <c r="H51" s="20" t="s">
        <v>8</v>
      </c>
      <c r="I51" s="20" t="s">
        <v>8</v>
      </c>
      <c r="J51" s="20" t="s">
        <v>8</v>
      </c>
    </row>
    <row r="52" spans="1:10">
      <c r="A52" s="21" t="s">
        <v>59</v>
      </c>
      <c r="B52" s="12" t="s">
        <v>52</v>
      </c>
      <c r="C52" s="54">
        <v>32141.9</v>
      </c>
      <c r="D52" s="54" t="s">
        <v>8</v>
      </c>
      <c r="E52" s="54" t="s">
        <v>8</v>
      </c>
      <c r="F52" s="54" t="s">
        <v>8</v>
      </c>
      <c r="G52" s="54" t="s">
        <v>8</v>
      </c>
      <c r="H52" s="54" t="s">
        <v>8</v>
      </c>
      <c r="I52" s="54" t="s">
        <v>8</v>
      </c>
      <c r="J52" s="54" t="s">
        <v>8</v>
      </c>
    </row>
    <row r="53" spans="1:10" ht="51" customHeight="1">
      <c r="A53" s="22"/>
      <c r="B53" s="12" t="s">
        <v>53</v>
      </c>
      <c r="C53" s="54"/>
      <c r="D53" s="54"/>
      <c r="E53" s="54"/>
      <c r="F53" s="54"/>
      <c r="G53" s="54"/>
      <c r="H53" s="54"/>
      <c r="I53" s="54"/>
      <c r="J53" s="54"/>
    </row>
    <row r="54" spans="1:10" ht="38.25">
      <c r="A54" s="21" t="s">
        <v>60</v>
      </c>
      <c r="B54" s="12" t="s">
        <v>54</v>
      </c>
      <c r="C54" s="20">
        <v>30910</v>
      </c>
      <c r="D54" s="20" t="s">
        <v>8</v>
      </c>
      <c r="E54" s="20" t="s">
        <v>8</v>
      </c>
      <c r="F54" s="20" t="s">
        <v>8</v>
      </c>
      <c r="G54" s="20" t="s">
        <v>8</v>
      </c>
      <c r="H54" s="20" t="s">
        <v>8</v>
      </c>
      <c r="I54" s="20" t="s">
        <v>8</v>
      </c>
      <c r="J54" s="20" t="s">
        <v>8</v>
      </c>
    </row>
    <row r="55" spans="1:10" ht="25.5">
      <c r="A55" s="21" t="s">
        <v>61</v>
      </c>
      <c r="B55" s="12" t="s">
        <v>55</v>
      </c>
      <c r="C55" s="20">
        <v>230.8</v>
      </c>
      <c r="D55" s="20" t="s">
        <v>8</v>
      </c>
      <c r="E55" s="20" t="s">
        <v>8</v>
      </c>
      <c r="F55" s="20" t="s">
        <v>8</v>
      </c>
      <c r="G55" s="20" t="s">
        <v>8</v>
      </c>
      <c r="H55" s="20" t="s">
        <v>8</v>
      </c>
      <c r="I55" s="20" t="s">
        <v>8</v>
      </c>
      <c r="J55" s="20" t="s">
        <v>8</v>
      </c>
    </row>
    <row r="56" spans="1:10" ht="25.5">
      <c r="A56" s="21" t="s">
        <v>69</v>
      </c>
      <c r="B56" s="12" t="s">
        <v>70</v>
      </c>
      <c r="C56" s="20">
        <v>3890.5</v>
      </c>
      <c r="D56" s="20" t="s">
        <v>8</v>
      </c>
      <c r="E56" s="20" t="s">
        <v>8</v>
      </c>
      <c r="F56" s="20" t="s">
        <v>8</v>
      </c>
      <c r="G56" s="20" t="s">
        <v>8</v>
      </c>
      <c r="H56" s="20" t="s">
        <v>8</v>
      </c>
      <c r="I56" s="20" t="s">
        <v>8</v>
      </c>
      <c r="J56" s="20" t="s">
        <v>8</v>
      </c>
    </row>
    <row r="57" spans="1:10" ht="70.5" customHeight="1">
      <c r="A57" s="19" t="s">
        <v>56</v>
      </c>
      <c r="B57" s="10" t="s">
        <v>57</v>
      </c>
      <c r="C57" s="20" t="s">
        <v>29</v>
      </c>
      <c r="D57" s="20" t="s">
        <v>8</v>
      </c>
      <c r="E57" s="20" t="s">
        <v>8</v>
      </c>
      <c r="F57" s="20" t="s">
        <v>8</v>
      </c>
      <c r="G57" s="20" t="s">
        <v>8</v>
      </c>
      <c r="H57" s="20" t="s">
        <v>8</v>
      </c>
      <c r="I57" s="20" t="s">
        <v>8</v>
      </c>
      <c r="J57" s="20" t="s">
        <v>8</v>
      </c>
    </row>
    <row r="59" spans="1:10" ht="15" customHeight="1">
      <c r="A59" s="58" t="s">
        <v>62</v>
      </c>
      <c r="B59" s="58"/>
      <c r="C59" s="58"/>
    </row>
    <row r="60" spans="1:10" ht="2.25" customHeight="1">
      <c r="A60" s="58"/>
      <c r="B60" s="58"/>
      <c r="C60" s="58"/>
    </row>
    <row r="61" spans="1:10" hidden="1">
      <c r="A61" s="58"/>
      <c r="B61" s="58"/>
      <c r="C61" s="58"/>
    </row>
    <row r="62" spans="1:10" hidden="1">
      <c r="A62" s="58"/>
      <c r="B62" s="58"/>
      <c r="C62" s="58"/>
    </row>
    <row r="63" spans="1:10">
      <c r="A63" s="23" t="s">
        <v>63</v>
      </c>
      <c r="B63" s="23"/>
    </row>
    <row r="64" spans="1:10">
      <c r="A64" s="23" t="s">
        <v>64</v>
      </c>
      <c r="B64" s="23"/>
    </row>
    <row r="65" spans="1:1">
      <c r="A65" s="24"/>
    </row>
  </sheetData>
  <mergeCells count="33">
    <mergeCell ref="G37:G38"/>
    <mergeCell ref="A5:A9"/>
    <mergeCell ref="D5:D9"/>
    <mergeCell ref="E5:E9"/>
    <mergeCell ref="H5:H9"/>
    <mergeCell ref="B37:B38"/>
    <mergeCell ref="C37:C38"/>
    <mergeCell ref="D37:D38"/>
    <mergeCell ref="E37:E38"/>
    <mergeCell ref="F37:F38"/>
    <mergeCell ref="I52:I53"/>
    <mergeCell ref="J52:J53"/>
    <mergeCell ref="B5:B9"/>
    <mergeCell ref="C5:C9"/>
    <mergeCell ref="A59:C62"/>
    <mergeCell ref="H37:H38"/>
    <mergeCell ref="I37:I38"/>
    <mergeCell ref="J37:J38"/>
    <mergeCell ref="C52:C53"/>
    <mergeCell ref="D52:D53"/>
    <mergeCell ref="E52:E53"/>
    <mergeCell ref="F52:F53"/>
    <mergeCell ref="G52:G53"/>
    <mergeCell ref="H52:H53"/>
    <mergeCell ref="I24:J24"/>
    <mergeCell ref="A37:A38"/>
    <mergeCell ref="B3:J3"/>
    <mergeCell ref="H1:J1"/>
    <mergeCell ref="F5:F9"/>
    <mergeCell ref="G5:G9"/>
    <mergeCell ref="I5:J7"/>
    <mergeCell ref="J8:J9"/>
    <mergeCell ref="I8:I9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5"/>
  <sheetViews>
    <sheetView zoomScaleNormal="100" workbookViewId="0">
      <selection activeCell="E5" sqref="E5:E9"/>
    </sheetView>
  </sheetViews>
  <sheetFormatPr defaultRowHeight="15"/>
  <cols>
    <col min="1" max="1" width="5.5703125" style="1" customWidth="1"/>
    <col min="2" max="2" width="19.7109375" style="1" customWidth="1"/>
    <col min="3" max="3" width="9.140625" style="1"/>
    <col min="4" max="5" width="10" style="1" bestFit="1" customWidth="1"/>
    <col min="6" max="6" width="10.28515625" style="1" customWidth="1"/>
    <col min="7" max="7" width="9.140625" style="1" customWidth="1"/>
    <col min="8" max="16384" width="9.140625" style="1"/>
  </cols>
  <sheetData>
    <row r="1" spans="1:10">
      <c r="H1" s="43"/>
      <c r="I1" s="43"/>
      <c r="J1" s="43"/>
    </row>
    <row r="2" spans="1:10">
      <c r="H2" s="29"/>
      <c r="I2" s="29"/>
      <c r="J2" s="29"/>
    </row>
    <row r="3" spans="1:10">
      <c r="B3" s="42" t="s">
        <v>71</v>
      </c>
      <c r="C3" s="42"/>
      <c r="D3" s="42"/>
      <c r="E3" s="42"/>
      <c r="F3" s="42"/>
      <c r="G3" s="42"/>
      <c r="H3" s="42"/>
      <c r="I3" s="42"/>
      <c r="J3" s="42"/>
    </row>
    <row r="5" spans="1:10" ht="48" customHeight="1">
      <c r="A5" s="61" t="s">
        <v>0</v>
      </c>
      <c r="B5" s="55" t="s">
        <v>1</v>
      </c>
      <c r="C5" s="55" t="s">
        <v>58</v>
      </c>
      <c r="D5" s="53" t="s">
        <v>2</v>
      </c>
      <c r="E5" s="53" t="s">
        <v>3</v>
      </c>
      <c r="F5" s="44" t="s">
        <v>65</v>
      </c>
      <c r="G5" s="44" t="s">
        <v>66</v>
      </c>
      <c r="H5" s="53" t="s">
        <v>4</v>
      </c>
      <c r="I5" s="47" t="s">
        <v>67</v>
      </c>
      <c r="J5" s="48"/>
    </row>
    <row r="6" spans="1:10" ht="24" customHeight="1">
      <c r="A6" s="61"/>
      <c r="B6" s="56"/>
      <c r="C6" s="56"/>
      <c r="D6" s="53"/>
      <c r="E6" s="53"/>
      <c r="F6" s="45"/>
      <c r="G6" s="45"/>
      <c r="H6" s="53"/>
      <c r="I6" s="49"/>
      <c r="J6" s="50"/>
    </row>
    <row r="7" spans="1:10" ht="35.25" customHeight="1">
      <c r="A7" s="61"/>
      <c r="B7" s="56"/>
      <c r="C7" s="56"/>
      <c r="D7" s="53"/>
      <c r="E7" s="53"/>
      <c r="F7" s="45"/>
      <c r="G7" s="45"/>
      <c r="H7" s="53"/>
      <c r="I7" s="51"/>
      <c r="J7" s="52"/>
    </row>
    <row r="8" spans="1:10" ht="24" customHeight="1">
      <c r="A8" s="61"/>
      <c r="B8" s="56"/>
      <c r="C8" s="56"/>
      <c r="D8" s="53"/>
      <c r="E8" s="53"/>
      <c r="F8" s="45"/>
      <c r="G8" s="45"/>
      <c r="H8" s="53"/>
      <c r="I8" s="53" t="s">
        <v>5</v>
      </c>
      <c r="J8" s="44" t="s">
        <v>68</v>
      </c>
    </row>
    <row r="9" spans="1:10" ht="14.25" hidden="1" customHeight="1">
      <c r="A9" s="61"/>
      <c r="B9" s="57"/>
      <c r="C9" s="57"/>
      <c r="D9" s="53"/>
      <c r="E9" s="53"/>
      <c r="F9" s="46"/>
      <c r="G9" s="46"/>
      <c r="H9" s="53"/>
      <c r="I9" s="53"/>
      <c r="J9" s="46"/>
    </row>
    <row r="10" spans="1:10">
      <c r="A10" s="9">
        <v>1</v>
      </c>
      <c r="B10" s="9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</row>
    <row r="11" spans="1:10" ht="21" hidden="1" customHeight="1">
      <c r="A11" s="26" t="s">
        <v>6</v>
      </c>
      <c r="B11" s="11" t="s">
        <v>7</v>
      </c>
      <c r="C11" s="4">
        <f>C12+C13+C14+C15+C16+C17+C18+C19+C20</f>
        <v>2658.87</v>
      </c>
      <c r="D11" s="4">
        <f>E11+H11</f>
        <v>2620</v>
      </c>
      <c r="E11" s="4">
        <f>F11+G11+I11</f>
        <v>2611</v>
      </c>
      <c r="F11" s="27">
        <v>828</v>
      </c>
      <c r="G11" s="4">
        <v>1765</v>
      </c>
      <c r="H11" s="4">
        <f>H13+H16+H18</f>
        <v>9</v>
      </c>
      <c r="I11" s="27">
        <v>18</v>
      </c>
      <c r="J11" s="27" t="s">
        <v>8</v>
      </c>
    </row>
    <row r="12" spans="1:10" ht="21.75" hidden="1" customHeight="1">
      <c r="A12" s="12" t="s">
        <v>9</v>
      </c>
      <c r="B12" s="12" t="s">
        <v>10</v>
      </c>
      <c r="C12" s="7">
        <v>1</v>
      </c>
      <c r="D12" s="7" t="s">
        <v>8</v>
      </c>
      <c r="E12" s="7" t="s">
        <v>8</v>
      </c>
      <c r="F12" s="7" t="s">
        <v>8</v>
      </c>
      <c r="G12" s="7" t="s">
        <v>8</v>
      </c>
      <c r="H12" s="7" t="s">
        <v>8</v>
      </c>
      <c r="I12" s="13" t="s">
        <v>8</v>
      </c>
      <c r="J12" s="13" t="s">
        <v>8</v>
      </c>
    </row>
    <row r="13" spans="1:10" ht="15" hidden="1" customHeight="1">
      <c r="A13" s="12" t="s">
        <v>11</v>
      </c>
      <c r="B13" s="12" t="s">
        <v>12</v>
      </c>
      <c r="C13" s="2">
        <f>D13+6</f>
        <v>174.54</v>
      </c>
      <c r="D13" s="2">
        <f>E13+H13</f>
        <v>168.54</v>
      </c>
      <c r="E13" s="2">
        <f>F13+G13</f>
        <v>163.54</v>
      </c>
      <c r="F13" s="2">
        <f>111-H13-6</f>
        <v>100</v>
      </c>
      <c r="G13" s="2">
        <f>G11*0.036</f>
        <v>63.539999999999992</v>
      </c>
      <c r="H13" s="2">
        <v>5</v>
      </c>
      <c r="I13" s="25" t="s">
        <v>8</v>
      </c>
      <c r="J13" s="25" t="s">
        <v>8</v>
      </c>
    </row>
    <row r="14" spans="1:10" ht="26.25" hidden="1" customHeight="1">
      <c r="A14" s="12" t="s">
        <v>13</v>
      </c>
      <c r="B14" s="12" t="s">
        <v>14</v>
      </c>
      <c r="C14" s="2">
        <f>D14</f>
        <v>1</v>
      </c>
      <c r="D14" s="2">
        <f>E14</f>
        <v>1</v>
      </c>
      <c r="E14" s="2">
        <f>F14</f>
        <v>1</v>
      </c>
      <c r="F14" s="2">
        <v>1</v>
      </c>
      <c r="G14" s="2" t="s">
        <v>8</v>
      </c>
      <c r="H14" s="2" t="s">
        <v>8</v>
      </c>
      <c r="I14" s="25" t="s">
        <v>8</v>
      </c>
      <c r="J14" s="25" t="s">
        <v>8</v>
      </c>
    </row>
    <row r="15" spans="1:10" ht="29.25" hidden="1" customHeight="1">
      <c r="A15" s="14" t="s">
        <v>15</v>
      </c>
      <c r="B15" s="12" t="s">
        <v>16</v>
      </c>
      <c r="C15" s="2">
        <f>D15</f>
        <v>18</v>
      </c>
      <c r="D15" s="2">
        <f>E15</f>
        <v>18</v>
      </c>
      <c r="E15" s="2">
        <f>I15</f>
        <v>18</v>
      </c>
      <c r="F15" s="2" t="s">
        <v>8</v>
      </c>
      <c r="G15" s="2" t="s">
        <v>8</v>
      </c>
      <c r="H15" s="2" t="s">
        <v>8</v>
      </c>
      <c r="I15" s="25">
        <f>I11</f>
        <v>18</v>
      </c>
      <c r="J15" s="25" t="s">
        <v>8</v>
      </c>
    </row>
    <row r="16" spans="1:10" hidden="1">
      <c r="A16" s="14" t="s">
        <v>17</v>
      </c>
      <c r="B16" s="12" t="s">
        <v>18</v>
      </c>
      <c r="C16" s="2">
        <f>D16</f>
        <v>199.535</v>
      </c>
      <c r="D16" s="2">
        <f>E16+H16</f>
        <v>199.535</v>
      </c>
      <c r="E16" s="2">
        <f>F16+G16</f>
        <v>196.535</v>
      </c>
      <c r="F16" s="2">
        <f>166-H16</f>
        <v>163</v>
      </c>
      <c r="G16" s="2">
        <f>G11*0.019</f>
        <v>33.534999999999997</v>
      </c>
      <c r="H16" s="2">
        <v>3</v>
      </c>
      <c r="I16" s="25" t="s">
        <v>8</v>
      </c>
      <c r="J16" s="25" t="s">
        <v>8</v>
      </c>
    </row>
    <row r="17" spans="1:10" ht="64.5" hidden="1" customHeight="1">
      <c r="A17" s="14" t="s">
        <v>19</v>
      </c>
      <c r="B17" s="12" t="s">
        <v>20</v>
      </c>
      <c r="C17" s="2">
        <f>D17</f>
        <v>1394.25</v>
      </c>
      <c r="D17" s="2">
        <f>E17</f>
        <v>1394.25</v>
      </c>
      <c r="E17" s="2">
        <f>F17+G17</f>
        <v>1394.25</v>
      </c>
      <c r="F17" s="2">
        <v>247</v>
      </c>
      <c r="G17" s="2">
        <f>G11*0.65</f>
        <v>1147.25</v>
      </c>
      <c r="H17" s="2" t="s">
        <v>8</v>
      </c>
      <c r="I17" s="25" t="s">
        <v>8</v>
      </c>
      <c r="J17" s="25" t="s">
        <v>8</v>
      </c>
    </row>
    <row r="18" spans="1:10" hidden="1">
      <c r="A18" s="14" t="s">
        <v>21</v>
      </c>
      <c r="B18" s="12" t="s">
        <v>22</v>
      </c>
      <c r="C18" s="2">
        <v>208</v>
      </c>
      <c r="D18" s="2">
        <v>207</v>
      </c>
      <c r="E18" s="2">
        <v>206</v>
      </c>
      <c r="F18" s="2">
        <f>124-H18</f>
        <v>123</v>
      </c>
      <c r="G18" s="2">
        <f>G11*0.042</f>
        <v>74.13000000000001</v>
      </c>
      <c r="H18" s="2">
        <v>1</v>
      </c>
      <c r="I18" s="25" t="s">
        <v>8</v>
      </c>
      <c r="J18" s="25" t="s">
        <v>8</v>
      </c>
    </row>
    <row r="19" spans="1:10" ht="48" hidden="1" customHeight="1">
      <c r="A19" s="14" t="s">
        <v>23</v>
      </c>
      <c r="B19" s="12" t="s">
        <v>24</v>
      </c>
      <c r="C19" s="2">
        <f>D19</f>
        <v>177.37</v>
      </c>
      <c r="D19" s="2">
        <f>E19</f>
        <v>177.37</v>
      </c>
      <c r="E19" s="2">
        <f>F19+G19</f>
        <v>177.37</v>
      </c>
      <c r="F19" s="2">
        <v>75</v>
      </c>
      <c r="G19" s="2">
        <f>G11*0.058</f>
        <v>102.37</v>
      </c>
      <c r="H19" s="2" t="s">
        <v>8</v>
      </c>
      <c r="I19" s="25" t="s">
        <v>8</v>
      </c>
      <c r="J19" s="25" t="s">
        <v>8</v>
      </c>
    </row>
    <row r="20" spans="1:10" hidden="1">
      <c r="A20" s="12" t="s">
        <v>25</v>
      </c>
      <c r="B20" s="12" t="s">
        <v>26</v>
      </c>
      <c r="C20" s="2">
        <f>D20+22</f>
        <v>485.17499999999995</v>
      </c>
      <c r="D20" s="2">
        <f>E20</f>
        <v>463.17499999999995</v>
      </c>
      <c r="E20" s="2">
        <f>F20+G20</f>
        <v>463.17499999999995</v>
      </c>
      <c r="F20" s="2">
        <f>F11-F13-F14-F16-F17-F18-F19</f>
        <v>119</v>
      </c>
      <c r="G20" s="2">
        <f>G11-G13-G16-G17-G18-G19</f>
        <v>344.17499999999995</v>
      </c>
      <c r="H20" s="2" t="s">
        <v>8</v>
      </c>
      <c r="I20" s="25" t="s">
        <v>8</v>
      </c>
      <c r="J20" s="25" t="s">
        <v>8</v>
      </c>
    </row>
    <row r="21" spans="1:10" ht="76.5" hidden="1" customHeight="1">
      <c r="A21" s="26" t="s">
        <v>27</v>
      </c>
      <c r="B21" s="26" t="s">
        <v>28</v>
      </c>
      <c r="C21" s="25" t="s">
        <v>29</v>
      </c>
      <c r="D21" s="25" t="s">
        <v>29</v>
      </c>
      <c r="E21" s="3" t="s">
        <v>29</v>
      </c>
      <c r="F21" s="28">
        <f>F11/C11*100</f>
        <v>31.141048640964019</v>
      </c>
      <c r="G21" s="28" t="s">
        <v>29</v>
      </c>
      <c r="H21" s="28">
        <f>H11/C11*100</f>
        <v>0.33848965914091328</v>
      </c>
      <c r="I21" s="25" t="s">
        <v>29</v>
      </c>
      <c r="J21" s="25" t="s">
        <v>29</v>
      </c>
    </row>
    <row r="22" spans="1:10" ht="43.5" hidden="1" customHeight="1">
      <c r="A22" s="26" t="s">
        <v>30</v>
      </c>
      <c r="B22" s="26" t="s">
        <v>31</v>
      </c>
      <c r="C22" s="2">
        <v>100400</v>
      </c>
      <c r="D22" s="25" t="s">
        <v>29</v>
      </c>
      <c r="E22" s="3" t="s">
        <v>29</v>
      </c>
      <c r="F22" s="25" t="s">
        <v>29</v>
      </c>
      <c r="G22" s="25" t="s">
        <v>29</v>
      </c>
      <c r="H22" s="25" t="s">
        <v>29</v>
      </c>
      <c r="I22" s="25" t="s">
        <v>29</v>
      </c>
      <c r="J22" s="25" t="s">
        <v>29</v>
      </c>
    </row>
    <row r="23" spans="1:10" ht="45" hidden="1" customHeight="1">
      <c r="A23" s="26" t="s">
        <v>32</v>
      </c>
      <c r="B23" s="26" t="s">
        <v>33</v>
      </c>
      <c r="C23" s="28">
        <v>24771.4</v>
      </c>
      <c r="D23" s="25" t="s">
        <v>29</v>
      </c>
      <c r="E23" s="25" t="s">
        <v>29</v>
      </c>
      <c r="F23" s="28">
        <f>C23*0.75</f>
        <v>18578.550000000003</v>
      </c>
      <c r="G23" s="28">
        <f>C23*0.7</f>
        <v>17339.98</v>
      </c>
      <c r="H23" s="28">
        <f>C23*0.84</f>
        <v>20807.975999999999</v>
      </c>
      <c r="I23" s="28">
        <f>C23*0.744</f>
        <v>18429.921600000001</v>
      </c>
      <c r="J23" s="25" t="s">
        <v>29</v>
      </c>
    </row>
    <row r="24" spans="1:10" ht="49.5" hidden="1" customHeight="1">
      <c r="A24" s="26" t="s">
        <v>34</v>
      </c>
      <c r="B24" s="26" t="s">
        <v>35</v>
      </c>
      <c r="C24" s="25" t="s">
        <v>29</v>
      </c>
      <c r="D24" s="28">
        <f>D11*1000/C22</f>
        <v>26.095617529880478</v>
      </c>
      <c r="E24" s="28">
        <f>E11*1000/C22</f>
        <v>26.00597609561753</v>
      </c>
      <c r="F24" s="28">
        <f>F11*1000/C22</f>
        <v>8.2470119521912348</v>
      </c>
      <c r="G24" s="28">
        <f>G11*1000/C22</f>
        <v>17.579681274900398</v>
      </c>
      <c r="H24" s="28">
        <f>H11*1000/C22</f>
        <v>8.9641434262948211E-2</v>
      </c>
      <c r="I24" s="64">
        <f>I11*1000/C22</f>
        <v>0.17928286852589642</v>
      </c>
      <c r="J24" s="64"/>
    </row>
    <row r="25" spans="1:10" ht="27" hidden="1" customHeight="1">
      <c r="A25" s="26" t="s">
        <v>36</v>
      </c>
      <c r="B25" s="26" t="s">
        <v>37</v>
      </c>
      <c r="C25" s="2">
        <v>55207</v>
      </c>
      <c r="D25" s="25" t="s">
        <v>29</v>
      </c>
      <c r="E25" s="3" t="s">
        <v>29</v>
      </c>
      <c r="F25" s="25" t="s">
        <v>29</v>
      </c>
      <c r="G25" s="25" t="s">
        <v>29</v>
      </c>
      <c r="H25" s="25" t="s">
        <v>29</v>
      </c>
      <c r="I25" s="25" t="s">
        <v>29</v>
      </c>
      <c r="J25" s="25" t="s">
        <v>29</v>
      </c>
    </row>
    <row r="26" spans="1:10" ht="47.25" hidden="1" customHeight="1">
      <c r="A26" s="26" t="s">
        <v>38</v>
      </c>
      <c r="B26" s="26" t="s">
        <v>39</v>
      </c>
      <c r="C26" s="2">
        <v>31839</v>
      </c>
      <c r="D26" s="25" t="s">
        <v>29</v>
      </c>
      <c r="E26" s="3" t="s">
        <v>29</v>
      </c>
      <c r="F26" s="25" t="s">
        <v>29</v>
      </c>
      <c r="G26" s="25" t="s">
        <v>29</v>
      </c>
      <c r="H26" s="25" t="s">
        <v>29</v>
      </c>
      <c r="I26" s="25" t="s">
        <v>29</v>
      </c>
      <c r="J26" s="25"/>
    </row>
    <row r="27" spans="1:10" ht="34.5" hidden="1" customHeight="1">
      <c r="A27" s="26" t="s">
        <v>40</v>
      </c>
      <c r="B27" s="26" t="s">
        <v>41</v>
      </c>
      <c r="C27" s="27" t="s">
        <v>29</v>
      </c>
      <c r="D27" s="4">
        <f>E27+H27</f>
        <v>13251.115489999998</v>
      </c>
      <c r="E27" s="4">
        <f>F27+G27+I27</f>
        <v>11523.115489999998</v>
      </c>
      <c r="F27" s="4">
        <f>F29+F30+F32+F33+F34+F35+F36</f>
        <v>9528.315489999999</v>
      </c>
      <c r="G27" s="15">
        <f>G11*0.12+G11</f>
        <v>1976.8</v>
      </c>
      <c r="H27" s="4">
        <f>H29+H32+H34</f>
        <v>1728</v>
      </c>
      <c r="I27" s="27">
        <v>18</v>
      </c>
      <c r="J27" s="25" t="s">
        <v>8</v>
      </c>
    </row>
    <row r="28" spans="1:10" ht="21" hidden="1" customHeight="1">
      <c r="A28" s="12" t="s">
        <v>9</v>
      </c>
      <c r="B28" s="12" t="s">
        <v>10</v>
      </c>
      <c r="C28" s="27" t="s">
        <v>29</v>
      </c>
      <c r="D28" s="25" t="s">
        <v>8</v>
      </c>
      <c r="E28" s="25" t="s">
        <v>8</v>
      </c>
      <c r="F28" s="25" t="s">
        <v>8</v>
      </c>
      <c r="G28" s="25" t="s">
        <v>8</v>
      </c>
      <c r="H28" s="25" t="s">
        <v>8</v>
      </c>
      <c r="I28" s="25" t="s">
        <v>8</v>
      </c>
      <c r="J28" s="25" t="s">
        <v>8</v>
      </c>
    </row>
    <row r="29" spans="1:10" ht="16.5" hidden="1" customHeight="1">
      <c r="A29" s="12" t="s">
        <v>11</v>
      </c>
      <c r="B29" s="12" t="s">
        <v>12</v>
      </c>
      <c r="C29" s="27" t="s">
        <v>29</v>
      </c>
      <c r="D29" s="2">
        <v>2223</v>
      </c>
      <c r="E29" s="2">
        <v>1356</v>
      </c>
      <c r="F29" s="2">
        <v>1244</v>
      </c>
      <c r="G29" s="2">
        <f>G13</f>
        <v>63.539999999999992</v>
      </c>
      <c r="H29" s="25">
        <v>1156</v>
      </c>
      <c r="I29" s="25" t="s">
        <v>8</v>
      </c>
      <c r="J29" s="25" t="s">
        <v>8</v>
      </c>
    </row>
    <row r="30" spans="1:10" ht="35.25" hidden="1" customHeight="1">
      <c r="A30" s="12" t="s">
        <v>13</v>
      </c>
      <c r="B30" s="12" t="s">
        <v>14</v>
      </c>
      <c r="C30" s="27" t="s">
        <v>29</v>
      </c>
      <c r="D30" s="25">
        <f>E30</f>
        <v>10</v>
      </c>
      <c r="E30" s="25">
        <f>F30</f>
        <v>10</v>
      </c>
      <c r="F30" s="25">
        <v>10</v>
      </c>
      <c r="G30" s="25" t="s">
        <v>8</v>
      </c>
      <c r="H30" s="25" t="s">
        <v>8</v>
      </c>
      <c r="I30" s="25" t="s">
        <v>8</v>
      </c>
      <c r="J30" s="25" t="s">
        <v>8</v>
      </c>
    </row>
    <row r="31" spans="1:10" ht="30.75" hidden="1" customHeight="1">
      <c r="A31" s="12" t="s">
        <v>15</v>
      </c>
      <c r="B31" s="12" t="s">
        <v>16</v>
      </c>
      <c r="C31" s="27" t="s">
        <v>29</v>
      </c>
      <c r="D31" s="25">
        <f>E31</f>
        <v>18</v>
      </c>
      <c r="E31" s="25">
        <f>I31</f>
        <v>18</v>
      </c>
      <c r="F31" s="25" t="s">
        <v>8</v>
      </c>
      <c r="G31" s="25" t="s">
        <v>8</v>
      </c>
      <c r="H31" s="25" t="s">
        <v>8</v>
      </c>
      <c r="I31" s="25">
        <v>18</v>
      </c>
      <c r="J31" s="25" t="s">
        <v>8</v>
      </c>
    </row>
    <row r="32" spans="1:10" hidden="1">
      <c r="A32" s="12" t="s">
        <v>17</v>
      </c>
      <c r="B32" s="12" t="s">
        <v>18</v>
      </c>
      <c r="C32" s="27" t="s">
        <v>29</v>
      </c>
      <c r="D32" s="2">
        <f>E32+H32</f>
        <v>2151.5349999999999</v>
      </c>
      <c r="E32" s="2">
        <f>F32+G32</f>
        <v>1715.5350000000001</v>
      </c>
      <c r="F32" s="2">
        <v>1682</v>
      </c>
      <c r="G32" s="2">
        <f>G16</f>
        <v>33.534999999999997</v>
      </c>
      <c r="H32" s="25">
        <v>436</v>
      </c>
      <c r="I32" s="25"/>
      <c r="J32" s="25"/>
    </row>
    <row r="33" spans="1:10" ht="71.25" hidden="1" customHeight="1">
      <c r="A33" s="14" t="s">
        <v>19</v>
      </c>
      <c r="B33" s="12" t="s">
        <v>20</v>
      </c>
      <c r="C33" s="27" t="s">
        <v>29</v>
      </c>
      <c r="D33" s="2">
        <f>E33</f>
        <v>3897.92</v>
      </c>
      <c r="E33" s="2">
        <f>F33+G33</f>
        <v>3897.92</v>
      </c>
      <c r="F33" s="2">
        <v>2613</v>
      </c>
      <c r="G33" s="2">
        <f>G17*0.12+G17</f>
        <v>1284.92</v>
      </c>
      <c r="H33" s="25" t="s">
        <v>8</v>
      </c>
      <c r="I33" s="25" t="s">
        <v>8</v>
      </c>
      <c r="J33" s="25" t="s">
        <v>8</v>
      </c>
    </row>
    <row r="34" spans="1:10" hidden="1">
      <c r="A34" s="14" t="s">
        <v>21</v>
      </c>
      <c r="B34" s="12" t="s">
        <v>22</v>
      </c>
      <c r="C34" s="27" t="s">
        <v>29</v>
      </c>
      <c r="D34" s="2">
        <f>E34+H34</f>
        <v>1670.5233000000001</v>
      </c>
      <c r="E34" s="2">
        <f>F34+G34</f>
        <v>1534.5233000000001</v>
      </c>
      <c r="F34" s="2">
        <v>1430</v>
      </c>
      <c r="G34" s="2">
        <f>G18*0.41+G18</f>
        <v>104.52330000000001</v>
      </c>
      <c r="H34" s="25">
        <v>136</v>
      </c>
      <c r="I34" s="25" t="s">
        <v>8</v>
      </c>
      <c r="J34" s="25" t="s">
        <v>8</v>
      </c>
    </row>
    <row r="35" spans="1:10" ht="45.75" hidden="1" customHeight="1">
      <c r="A35" s="14" t="s">
        <v>23</v>
      </c>
      <c r="B35" s="12" t="s">
        <v>24</v>
      </c>
      <c r="C35" s="27" t="s">
        <v>29</v>
      </c>
      <c r="D35" s="2">
        <v>2315</v>
      </c>
      <c r="E35" s="2">
        <v>2315</v>
      </c>
      <c r="F35" s="2">
        <v>2061</v>
      </c>
      <c r="G35" s="2">
        <f>G19*0.12+G19</f>
        <v>114.65440000000001</v>
      </c>
      <c r="H35" s="25" t="s">
        <v>8</v>
      </c>
      <c r="I35" s="25" t="s">
        <v>8</v>
      </c>
      <c r="J35" s="25" t="s">
        <v>8</v>
      </c>
    </row>
    <row r="36" spans="1:10" hidden="1">
      <c r="A36" s="14" t="s">
        <v>25</v>
      </c>
      <c r="B36" s="12" t="s">
        <v>26</v>
      </c>
      <c r="C36" s="27" t="s">
        <v>29</v>
      </c>
      <c r="D36" s="2">
        <f>E36</f>
        <v>863.9427899999996</v>
      </c>
      <c r="E36" s="2">
        <f>F36+G36</f>
        <v>863.9427899999996</v>
      </c>
      <c r="F36" s="2">
        <f>G36*1.3</f>
        <v>488.31548999999978</v>
      </c>
      <c r="G36" s="16">
        <f>G27-G29-G32-G33-G34-G35</f>
        <v>375.62729999999982</v>
      </c>
      <c r="H36" s="25" t="s">
        <v>8</v>
      </c>
      <c r="I36" s="25" t="s">
        <v>8</v>
      </c>
      <c r="J36" s="25" t="s">
        <v>8</v>
      </c>
    </row>
    <row r="37" spans="1:10" ht="60.75" hidden="1" customHeight="1">
      <c r="A37" s="60" t="s">
        <v>42</v>
      </c>
      <c r="B37" s="60" t="s">
        <v>43</v>
      </c>
      <c r="C37" s="63" t="s">
        <v>29</v>
      </c>
      <c r="D37" s="64">
        <f>D27/C25*100</f>
        <v>24.002600195627362</v>
      </c>
      <c r="E37" s="64">
        <f>E27/C25*100</f>
        <v>20.872562338109294</v>
      </c>
      <c r="F37" s="65" t="s">
        <v>29</v>
      </c>
      <c r="G37" s="65" t="s">
        <v>29</v>
      </c>
      <c r="H37" s="65" t="s">
        <v>29</v>
      </c>
      <c r="I37" s="65" t="s">
        <v>29</v>
      </c>
      <c r="J37" s="65" t="s">
        <v>29</v>
      </c>
    </row>
    <row r="38" spans="1:10" hidden="1">
      <c r="A38" s="60"/>
      <c r="B38" s="60"/>
      <c r="C38" s="63"/>
      <c r="D38" s="64"/>
      <c r="E38" s="64"/>
      <c r="F38" s="65"/>
      <c r="G38" s="65"/>
      <c r="H38" s="65"/>
      <c r="I38" s="65"/>
      <c r="J38" s="65"/>
    </row>
    <row r="39" spans="1:10" ht="76.5" hidden="1">
      <c r="A39" s="26" t="s">
        <v>44</v>
      </c>
      <c r="B39" s="26" t="s">
        <v>45</v>
      </c>
      <c r="C39" s="5">
        <f>C40+C41+C42+C43+C44+C45+C46+C47+C48</f>
        <v>33902.775919178086</v>
      </c>
      <c r="D39" s="5">
        <f>E39+H39</f>
        <v>6079.7768873780815</v>
      </c>
      <c r="E39" s="5">
        <f>F39+G39+I39</f>
        <v>5144.8668873780816</v>
      </c>
      <c r="F39" s="5">
        <f>F41+F42+F44+F45+F46+F47+F48</f>
        <v>3073.0012191780825</v>
      </c>
      <c r="G39" s="5">
        <f>G41+G44+G45+G46+G47+G48</f>
        <v>2019.1656681999998</v>
      </c>
      <c r="H39" s="5">
        <f>H41+H44+H46</f>
        <v>934.91000000000008</v>
      </c>
      <c r="I39" s="17">
        <f>I43</f>
        <v>52.7</v>
      </c>
      <c r="J39" s="27" t="s">
        <v>8</v>
      </c>
    </row>
    <row r="40" spans="1:10" ht="19.5" hidden="1" customHeight="1">
      <c r="A40" s="12" t="s">
        <v>9</v>
      </c>
      <c r="B40" s="12" t="s">
        <v>10</v>
      </c>
      <c r="C40" s="28">
        <v>427.5</v>
      </c>
      <c r="D40" s="28" t="s">
        <v>8</v>
      </c>
      <c r="E40" s="28" t="s">
        <v>8</v>
      </c>
      <c r="F40" s="28" t="s">
        <v>8</v>
      </c>
      <c r="G40" s="28" t="s">
        <v>8</v>
      </c>
      <c r="H40" s="28" t="s">
        <v>8</v>
      </c>
      <c r="I40" s="28" t="s">
        <v>8</v>
      </c>
      <c r="J40" s="25" t="s">
        <v>8</v>
      </c>
    </row>
    <row r="41" spans="1:10" ht="15.75" hidden="1" customHeight="1">
      <c r="A41" s="12" t="s">
        <v>11</v>
      </c>
      <c r="B41" s="12" t="s">
        <v>12</v>
      </c>
      <c r="C41" s="28">
        <v>27819.1</v>
      </c>
      <c r="D41" s="28">
        <f>E41+H41</f>
        <v>2853.8556681999999</v>
      </c>
      <c r="E41" s="28">
        <f>F41+G41</f>
        <v>2039.1956682</v>
      </c>
      <c r="F41" s="28">
        <f>C41*0.06</f>
        <v>1669.146</v>
      </c>
      <c r="G41" s="18">
        <f>F41*0.2217</f>
        <v>370.04966819999999</v>
      </c>
      <c r="H41" s="28">
        <f>20.6+4.83+271.91+64.7+452.62</f>
        <v>814.66000000000008</v>
      </c>
      <c r="I41" s="28" t="s">
        <v>8</v>
      </c>
      <c r="J41" s="25" t="s">
        <v>8</v>
      </c>
    </row>
    <row r="42" spans="1:10" ht="31.5" hidden="1" customHeight="1">
      <c r="A42" s="12" t="s">
        <v>13</v>
      </c>
      <c r="B42" s="12" t="s">
        <v>14</v>
      </c>
      <c r="C42" s="28">
        <v>888.9</v>
      </c>
      <c r="D42" s="28" t="str">
        <f>E42</f>
        <v>19 января 2015 года</v>
      </c>
      <c r="E42" s="30" t="s">
        <v>72</v>
      </c>
      <c r="F42" s="28">
        <f>C42*0.06</f>
        <v>53.333999999999996</v>
      </c>
      <c r="G42" s="28" t="s">
        <v>8</v>
      </c>
      <c r="H42" s="28" t="s">
        <v>8</v>
      </c>
      <c r="I42" s="28" t="s">
        <v>8</v>
      </c>
      <c r="J42" s="25" t="s">
        <v>8</v>
      </c>
    </row>
    <row r="43" spans="1:10" ht="24.75" hidden="1" customHeight="1">
      <c r="A43" s="12" t="s">
        <v>15</v>
      </c>
      <c r="B43" s="12" t="s">
        <v>16</v>
      </c>
      <c r="C43" s="28">
        <f>I43</f>
        <v>52.7</v>
      </c>
      <c r="D43" s="28">
        <f>E43</f>
        <v>52.7</v>
      </c>
      <c r="E43" s="28">
        <f>I43</f>
        <v>52.7</v>
      </c>
      <c r="F43" s="28" t="s">
        <v>8</v>
      </c>
      <c r="G43" s="28" t="s">
        <v>8</v>
      </c>
      <c r="H43" s="28" t="s">
        <v>8</v>
      </c>
      <c r="I43" s="28">
        <v>52.7</v>
      </c>
      <c r="J43" s="25" t="s">
        <v>8</v>
      </c>
    </row>
    <row r="44" spans="1:10" ht="15" hidden="1" customHeight="1">
      <c r="A44" s="12" t="s">
        <v>17</v>
      </c>
      <c r="B44" s="12" t="s">
        <v>18</v>
      </c>
      <c r="C44" s="28">
        <f>D44</f>
        <v>67.608000000000004</v>
      </c>
      <c r="D44" s="28">
        <f>E44+H44</f>
        <v>67.608000000000004</v>
      </c>
      <c r="E44" s="28">
        <f>F44+G44</f>
        <v>5.008</v>
      </c>
      <c r="F44" s="28">
        <f>H44*0.06</f>
        <v>3.7559999999999998</v>
      </c>
      <c r="G44" s="28">
        <f>H44*0.02</f>
        <v>1.252</v>
      </c>
      <c r="H44" s="28">
        <v>62.6</v>
      </c>
      <c r="I44" s="28" t="s">
        <v>8</v>
      </c>
      <c r="J44" s="25" t="s">
        <v>8</v>
      </c>
    </row>
    <row r="45" spans="1:10" ht="71.25" hidden="1" customHeight="1">
      <c r="A45" s="12" t="s">
        <v>19</v>
      </c>
      <c r="B45" s="12" t="s">
        <v>20</v>
      </c>
      <c r="C45" s="28">
        <f>D45+3541*0.337</f>
        <v>3268.3429999999998</v>
      </c>
      <c r="D45" s="28">
        <f>E45</f>
        <v>2075.0259999999998</v>
      </c>
      <c r="E45" s="28">
        <f>F45+G45</f>
        <v>2075.0259999999998</v>
      </c>
      <c r="F45" s="28">
        <f>3541*0.232</f>
        <v>821.51200000000006</v>
      </c>
      <c r="G45" s="28">
        <f>3541*0.354</f>
        <v>1253.5139999999999</v>
      </c>
      <c r="H45" s="28" t="s">
        <v>8</v>
      </c>
      <c r="I45" s="28" t="s">
        <v>8</v>
      </c>
      <c r="J45" s="25" t="s">
        <v>8</v>
      </c>
    </row>
    <row r="46" spans="1:10" ht="15.75" hidden="1" customHeight="1">
      <c r="A46" s="12" t="s">
        <v>21</v>
      </c>
      <c r="B46" s="12" t="s">
        <v>22</v>
      </c>
      <c r="C46" s="28">
        <f>32.1+D46</f>
        <v>196.0582191780822</v>
      </c>
      <c r="D46" s="28">
        <f>E46+H46</f>
        <v>163.9582191780822</v>
      </c>
      <c r="E46" s="28">
        <f>F46+G46</f>
        <v>106.3082191780822</v>
      </c>
      <c r="F46" s="28">
        <f>G46/7.3</f>
        <v>12.808219178082192</v>
      </c>
      <c r="G46" s="28">
        <v>93.5</v>
      </c>
      <c r="H46" s="28">
        <f>115.3/2</f>
        <v>57.65</v>
      </c>
      <c r="I46" s="28"/>
      <c r="J46" s="25"/>
    </row>
    <row r="47" spans="1:10" ht="39.75" hidden="1" customHeight="1">
      <c r="A47" s="12" t="s">
        <v>23</v>
      </c>
      <c r="B47" s="12" t="s">
        <v>24</v>
      </c>
      <c r="C47" s="28">
        <f>D47*0.287+D47</f>
        <v>36.036000000000001</v>
      </c>
      <c r="D47" s="28">
        <f>E47</f>
        <v>28</v>
      </c>
      <c r="E47" s="28">
        <f>F47+G47</f>
        <v>28</v>
      </c>
      <c r="F47" s="28">
        <f>G47*0.8+G47</f>
        <v>18</v>
      </c>
      <c r="G47" s="28">
        <f>20/2</f>
        <v>10</v>
      </c>
      <c r="H47" s="28" t="s">
        <v>8</v>
      </c>
      <c r="I47" s="28" t="s">
        <v>8</v>
      </c>
      <c r="J47" s="25" t="s">
        <v>8</v>
      </c>
    </row>
    <row r="48" spans="1:10" hidden="1">
      <c r="A48" s="12" t="s">
        <v>25</v>
      </c>
      <c r="B48" s="12" t="s">
        <v>26</v>
      </c>
      <c r="C48" s="28">
        <f>D48*0.46+D48</f>
        <v>1146.5307000000003</v>
      </c>
      <c r="D48" s="28">
        <f>E48</f>
        <v>785.29500000000007</v>
      </c>
      <c r="E48" s="28">
        <f>F48+G48</f>
        <v>785.29500000000007</v>
      </c>
      <c r="F48" s="28">
        <f>G48*0.7+G48</f>
        <v>494.44500000000005</v>
      </c>
      <c r="G48" s="28">
        <f>581.7/2</f>
        <v>290.85000000000002</v>
      </c>
      <c r="H48" s="28" t="s">
        <v>8</v>
      </c>
      <c r="I48" s="28" t="s">
        <v>8</v>
      </c>
      <c r="J48" s="28" t="s">
        <v>8</v>
      </c>
    </row>
    <row r="49" spans="1:10" ht="57.75" hidden="1" customHeight="1">
      <c r="A49" s="26" t="s">
        <v>46</v>
      </c>
      <c r="B49" s="26" t="s">
        <v>47</v>
      </c>
      <c r="C49" s="25">
        <v>0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 t="s">
        <v>8</v>
      </c>
    </row>
    <row r="50" spans="1:10" ht="25.5" hidden="1" customHeight="1">
      <c r="A50" s="26" t="s">
        <v>48</v>
      </c>
      <c r="B50" s="26" t="s">
        <v>49</v>
      </c>
      <c r="C50" s="5">
        <f>D50+78</f>
        <v>461.02159999999998</v>
      </c>
      <c r="D50" s="5">
        <f>E50</f>
        <v>383.02159999999998</v>
      </c>
      <c r="E50" s="5">
        <f>H50</f>
        <v>383.02159999999998</v>
      </c>
      <c r="F50" s="27" t="s">
        <v>8</v>
      </c>
      <c r="G50" s="27" t="s">
        <v>8</v>
      </c>
      <c r="H50" s="5">
        <f>383+0.0216</f>
        <v>383.02159999999998</v>
      </c>
      <c r="I50" s="27" t="s">
        <v>8</v>
      </c>
      <c r="J50" s="27" t="s">
        <v>8</v>
      </c>
    </row>
    <row r="51" spans="1:10" ht="31.5" customHeight="1">
      <c r="A51" s="19" t="s">
        <v>50</v>
      </c>
      <c r="B51" s="26" t="s">
        <v>51</v>
      </c>
      <c r="C51" s="20"/>
      <c r="D51" s="28" t="s">
        <v>8</v>
      </c>
      <c r="E51" s="28" t="s">
        <v>8</v>
      </c>
      <c r="F51" s="28" t="s">
        <v>8</v>
      </c>
      <c r="G51" s="28" t="s">
        <v>8</v>
      </c>
      <c r="H51" s="28" t="s">
        <v>8</v>
      </c>
      <c r="I51" s="28" t="s">
        <v>8</v>
      </c>
      <c r="J51" s="28" t="s">
        <v>8</v>
      </c>
    </row>
    <row r="52" spans="1:10">
      <c r="A52" s="21" t="s">
        <v>59</v>
      </c>
      <c r="B52" s="12" t="s">
        <v>52</v>
      </c>
      <c r="C52" s="64"/>
      <c r="D52" s="64" t="s">
        <v>8</v>
      </c>
      <c r="E52" s="64" t="s">
        <v>8</v>
      </c>
      <c r="F52" s="64" t="s">
        <v>8</v>
      </c>
      <c r="G52" s="64" t="s">
        <v>8</v>
      </c>
      <c r="H52" s="64" t="s">
        <v>8</v>
      </c>
      <c r="I52" s="64" t="s">
        <v>8</v>
      </c>
      <c r="J52" s="64" t="s">
        <v>8</v>
      </c>
    </row>
    <row r="53" spans="1:10" ht="51" customHeight="1">
      <c r="A53" s="22"/>
      <c r="B53" s="12" t="s">
        <v>53</v>
      </c>
      <c r="C53" s="64"/>
      <c r="D53" s="64"/>
      <c r="E53" s="64"/>
      <c r="F53" s="64"/>
      <c r="G53" s="64"/>
      <c r="H53" s="64"/>
      <c r="I53" s="64"/>
      <c r="J53" s="64"/>
    </row>
    <row r="54" spans="1:10" ht="51">
      <c r="A54" s="21" t="s">
        <v>60</v>
      </c>
      <c r="B54" s="12" t="s">
        <v>54</v>
      </c>
      <c r="C54" s="28"/>
      <c r="D54" s="28" t="s">
        <v>8</v>
      </c>
      <c r="E54" s="28" t="s">
        <v>8</v>
      </c>
      <c r="F54" s="28" t="s">
        <v>8</v>
      </c>
      <c r="G54" s="28" t="s">
        <v>8</v>
      </c>
      <c r="H54" s="28" t="s">
        <v>8</v>
      </c>
      <c r="I54" s="28" t="s">
        <v>8</v>
      </c>
      <c r="J54" s="28" t="s">
        <v>8</v>
      </c>
    </row>
    <row r="55" spans="1:10" ht="38.25">
      <c r="A55" s="21" t="s">
        <v>61</v>
      </c>
      <c r="B55" s="12" t="s">
        <v>55</v>
      </c>
      <c r="C55" s="28"/>
      <c r="D55" s="28" t="s">
        <v>8</v>
      </c>
      <c r="E55" s="28" t="s">
        <v>8</v>
      </c>
      <c r="F55" s="28" t="s">
        <v>8</v>
      </c>
      <c r="G55" s="28" t="s">
        <v>8</v>
      </c>
      <c r="H55" s="28" t="s">
        <v>8</v>
      </c>
      <c r="I55" s="28" t="s">
        <v>8</v>
      </c>
      <c r="J55" s="28" t="s">
        <v>8</v>
      </c>
    </row>
    <row r="56" spans="1:10" ht="25.5">
      <c r="A56" s="21" t="s">
        <v>69</v>
      </c>
      <c r="B56" s="12" t="s">
        <v>70</v>
      </c>
      <c r="C56" s="28"/>
      <c r="D56" s="28" t="s">
        <v>8</v>
      </c>
      <c r="E56" s="28" t="s">
        <v>8</v>
      </c>
      <c r="F56" s="28" t="s">
        <v>8</v>
      </c>
      <c r="G56" s="28" t="s">
        <v>8</v>
      </c>
      <c r="H56" s="28" t="s">
        <v>8</v>
      </c>
      <c r="I56" s="28" t="s">
        <v>8</v>
      </c>
      <c r="J56" s="28" t="s">
        <v>8</v>
      </c>
    </row>
    <row r="57" spans="1:10" ht="98.25" customHeight="1">
      <c r="A57" s="19" t="s">
        <v>56</v>
      </c>
      <c r="B57" s="26" t="s">
        <v>57</v>
      </c>
      <c r="C57" s="28"/>
      <c r="D57" s="28" t="s">
        <v>29</v>
      </c>
      <c r="E57" s="28" t="s">
        <v>29</v>
      </c>
      <c r="F57" s="28" t="s">
        <v>29</v>
      </c>
      <c r="G57" s="28" t="s">
        <v>29</v>
      </c>
      <c r="H57" s="28" t="s">
        <v>29</v>
      </c>
      <c r="I57" s="28" t="s">
        <v>29</v>
      </c>
      <c r="J57" s="28" t="s">
        <v>29</v>
      </c>
    </row>
    <row r="59" spans="1:10" ht="15" customHeight="1">
      <c r="A59" s="58" t="s">
        <v>62</v>
      </c>
      <c r="B59" s="58"/>
      <c r="C59" s="58"/>
    </row>
    <row r="60" spans="1:10" ht="2.25" customHeight="1">
      <c r="A60" s="58"/>
      <c r="B60" s="58"/>
      <c r="C60" s="58"/>
    </row>
    <row r="61" spans="1:10" hidden="1">
      <c r="A61" s="58"/>
      <c r="B61" s="58"/>
      <c r="C61" s="58"/>
    </row>
    <row r="62" spans="1:10" hidden="1">
      <c r="A62" s="58"/>
      <c r="B62" s="58"/>
      <c r="C62" s="58"/>
    </row>
    <row r="63" spans="1:10">
      <c r="A63" s="23" t="s">
        <v>63</v>
      </c>
      <c r="B63" s="23"/>
    </row>
    <row r="64" spans="1:10">
      <c r="A64" s="23" t="s">
        <v>64</v>
      </c>
      <c r="B64" s="23"/>
    </row>
    <row r="65" spans="1:1">
      <c r="A65" s="24"/>
    </row>
  </sheetData>
  <mergeCells count="33">
    <mergeCell ref="H52:H53"/>
    <mergeCell ref="I52:I53"/>
    <mergeCell ref="J52:J53"/>
    <mergeCell ref="A59:C62"/>
    <mergeCell ref="F37:F38"/>
    <mergeCell ref="G37:G38"/>
    <mergeCell ref="H37:H38"/>
    <mergeCell ref="I37:I38"/>
    <mergeCell ref="J37:J38"/>
    <mergeCell ref="C52:C53"/>
    <mergeCell ref="D52:D53"/>
    <mergeCell ref="E52:E53"/>
    <mergeCell ref="F52:F53"/>
    <mergeCell ref="G52:G53"/>
    <mergeCell ref="A37:A38"/>
    <mergeCell ref="B37:B38"/>
    <mergeCell ref="C37:C38"/>
    <mergeCell ref="D37:D38"/>
    <mergeCell ref="E37:E38"/>
    <mergeCell ref="H1:J1"/>
    <mergeCell ref="B3:J3"/>
    <mergeCell ref="F5:F9"/>
    <mergeCell ref="G5:G9"/>
    <mergeCell ref="H5:H9"/>
    <mergeCell ref="I5:J7"/>
    <mergeCell ref="I8:I9"/>
    <mergeCell ref="J8:J9"/>
    <mergeCell ref="I24:J24"/>
    <mergeCell ref="A5:A9"/>
    <mergeCell ref="B5:B9"/>
    <mergeCell ref="C5:C9"/>
    <mergeCell ref="D5:D9"/>
    <mergeCell ref="E5:E9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для ФУ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Pavlova</dc:creator>
  <cp:lastModifiedBy>1</cp:lastModifiedBy>
  <cp:lastPrinted>2015-02-24T10:59:58Z</cp:lastPrinted>
  <dcterms:created xsi:type="dcterms:W3CDTF">2014-08-15T09:59:17Z</dcterms:created>
  <dcterms:modified xsi:type="dcterms:W3CDTF">2015-12-03T03:49:14Z</dcterms:modified>
</cp:coreProperties>
</file>